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DEMP\GOVERNANÇA E GESTÃO\TRANSPARENCIA\2026-W772CJ\CENTRAL I REVITALIZAÇÃO\"/>
    </mc:Choice>
  </mc:AlternateContent>
  <xr:revisionPtr revIDLastSave="0" documentId="13_ncr:1_{CE77E785-5B39-41B2-9035-B7082761302B}" xr6:coauthVersionLast="47" xr6:coauthVersionMax="47" xr10:uidLastSave="{00000000-0000-0000-0000-000000000000}"/>
  <bookViews>
    <workbookView xWindow="-28920" yWindow="-2025" windowWidth="29040" windowHeight="15720" firstSheet="2" activeTab="2" xr2:uid="{00000000-000D-0000-FFFF-FFFF00000000}"/>
  </bookViews>
  <sheets>
    <sheet name="Cronog original" sheetId="3" state="hidden" r:id="rId1"/>
    <sheet name="Contrato" sheetId="1" state="hidden" r:id="rId2"/>
    <sheet name="25ª MEDIÇÃO - OUT 2025" sheetId="16" r:id="rId3"/>
    <sheet name="Memoria 1" sheetId="5" state="hidden" r:id="rId4"/>
    <sheet name="Memoria 2" sheetId="11" state="hidden" r:id="rId5"/>
    <sheet name="Memoria 3" sheetId="14" state="hidden" r:id="rId6"/>
    <sheet name="Memoria 4" sheetId="15" state="hidden" r:id="rId7"/>
    <sheet name="contagem prazo" sheetId="8" state="hidden" r:id="rId8"/>
  </sheets>
  <externalReferences>
    <externalReference r:id="rId9"/>
  </externalReferences>
  <definedNames>
    <definedName name="_xlnm._FilterDatabase" localSheetId="2" hidden="1">'25ª MEDIÇÃO - OUT 2025'!$A$8:$L$119</definedName>
    <definedName name="_tot1" localSheetId="3">[1]PLANILHA!#REF!</definedName>
    <definedName name="_tot1" localSheetId="4">[1]PLANILHA!#REF!</definedName>
    <definedName name="_tot1" localSheetId="5">[1]PLANILHA!#REF!</definedName>
    <definedName name="_tot1" localSheetId="6">[1]PLANILHA!#REF!</definedName>
    <definedName name="_tot1">[1]PLANILHA!#REF!</definedName>
    <definedName name="_xlnm.Print_Area" localSheetId="2">'25ª MEDIÇÃO - OUT 2025'!$A$1:$L$637</definedName>
    <definedName name="_xlnm.Print_Area" localSheetId="1">Contrato!$A$1:$H$37</definedName>
    <definedName name="_xlnm.Print_Area" localSheetId="0">'Cronog original'!$A$1:$P$25</definedName>
    <definedName name="_xlnm.Print_Area" localSheetId="3">'Memoria 1'!$A$1:$I$42</definedName>
    <definedName name="_xlnm.Print_Area" localSheetId="4">'Memoria 2'!$A$1:$I$63</definedName>
    <definedName name="_xlnm.Print_Area" localSheetId="5">'Memoria 3'!$A$1:$J$183</definedName>
    <definedName name="_xlnm.Print_Area" localSheetId="6">'Memoria 4'!$A$1:$I$186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>#REF!</definedName>
    <definedName name="bdi">[1]PLANILHA!$H$123</definedName>
    <definedName name="cliente" localSheetId="4">#REF!</definedName>
    <definedName name="cliente" localSheetId="5">#REF!</definedName>
    <definedName name="cliente" localSheetId="6">#REF!</definedName>
    <definedName name="cliente">#REF!</definedName>
    <definedName name="ctdireto" localSheetId="4">#REF!</definedName>
    <definedName name="ctdireto" localSheetId="5">#REF!</definedName>
    <definedName name="ctdireto" localSheetId="6">#REF!</definedName>
    <definedName name="ctdireto">#REF!</definedName>
    <definedName name="ctindireto" localSheetId="4">#REF!</definedName>
    <definedName name="ctindireto" localSheetId="5">#REF!</definedName>
    <definedName name="ctindireto" localSheetId="6">#REF!</definedName>
    <definedName name="ctindireto">#REF!</definedName>
    <definedName name="data" localSheetId="4">#REF!</definedName>
    <definedName name="data" localSheetId="5">#REF!</definedName>
    <definedName name="data" localSheetId="6">#REF!</definedName>
    <definedName name="data">#REF!</definedName>
    <definedName name="Excel_BuiltIn__FilterDatabase" localSheetId="4">#REF!</definedName>
    <definedName name="Excel_BuiltIn__FilterDatabase" localSheetId="5">#REF!</definedName>
    <definedName name="Excel_BuiltIn__FilterDatabase" localSheetId="6">#REF!</definedName>
    <definedName name="Excel_BuiltIn__FilterDatabase">#REF!</definedName>
    <definedName name="Excel_BuiltIn_Print_Area_1" localSheetId="4">#REF!</definedName>
    <definedName name="Excel_BuiltIn_Print_Area_1" localSheetId="5">#REF!</definedName>
    <definedName name="Excel_BuiltIn_Print_Area_1" localSheetId="6">#REF!</definedName>
    <definedName name="Excel_BuiltIn_Print_Area_1">#REF!</definedName>
    <definedName name="Excel_BuiltIn_Print_Area_1_1" localSheetId="4">#REF!</definedName>
    <definedName name="Excel_BuiltIn_Print_Area_1_1" localSheetId="5">#REF!</definedName>
    <definedName name="Excel_BuiltIn_Print_Area_1_1" localSheetId="6">#REF!</definedName>
    <definedName name="Excel_BuiltIn_Print_Area_1_1">#REF!</definedName>
    <definedName name="Excel_BuiltIn_Print_Area_2" localSheetId="4">#REF!</definedName>
    <definedName name="Excel_BuiltIn_Print_Area_2" localSheetId="5">#REF!</definedName>
    <definedName name="Excel_BuiltIn_Print_Area_2" localSheetId="6">#REF!</definedName>
    <definedName name="Excel_BuiltIn_Print_Area_2">#REF!</definedName>
    <definedName name="Excel_BuiltIn_Print_Area_3" localSheetId="4">#REF!</definedName>
    <definedName name="Excel_BuiltIn_Print_Area_3" localSheetId="5">#REF!</definedName>
    <definedName name="Excel_BuiltIn_Print_Area_3" localSheetId="6">#REF!</definedName>
    <definedName name="Excel_BuiltIn_Print_Area_3">#REF!</definedName>
    <definedName name="Excel_BuiltIn_Print_Area_4" localSheetId="4">#REF!</definedName>
    <definedName name="Excel_BuiltIn_Print_Area_4" localSheetId="5">#REF!</definedName>
    <definedName name="Excel_BuiltIn_Print_Area_4" localSheetId="6">#REF!</definedName>
    <definedName name="Excel_BuiltIn_Print_Area_4">#REF!</definedName>
    <definedName name="Excel_BuiltIn_Print_Area_4_1" localSheetId="4">#REF!</definedName>
    <definedName name="Excel_BuiltIn_Print_Area_4_1" localSheetId="5">#REF!</definedName>
    <definedName name="Excel_BuiltIn_Print_Area_4_1" localSheetId="6">#REF!</definedName>
    <definedName name="Excel_BuiltIn_Print_Area_4_1">#REF!</definedName>
    <definedName name="Excel_BuiltIn_Print_Titles_1" localSheetId="4">#REF!</definedName>
    <definedName name="Excel_BuiltIn_Print_Titles_1" localSheetId="5">#REF!</definedName>
    <definedName name="Excel_BuiltIn_Print_Titles_1" localSheetId="6">#REF!</definedName>
    <definedName name="Excel_BuiltIn_Print_Titles_1">#REF!</definedName>
    <definedName name="Excel_BuiltIn_Print_Titles_1_1" localSheetId="4">(#REF!,#REF!)</definedName>
    <definedName name="Excel_BuiltIn_Print_Titles_1_1" localSheetId="5">(#REF!,#REF!)</definedName>
    <definedName name="Excel_BuiltIn_Print_Titles_1_1" localSheetId="6">(#REF!,#REF!)</definedName>
    <definedName name="Excel_BuiltIn_Print_Titles_1_1">(#REF!,#REF!)</definedName>
    <definedName name="local" localSheetId="4">#REF!</definedName>
    <definedName name="local" localSheetId="5">#REF!</definedName>
    <definedName name="local" localSheetId="6">#REF!</definedName>
    <definedName name="local">#REF!</definedName>
    <definedName name="nomeobra" localSheetId="4">#REF!</definedName>
    <definedName name="nomeobra" localSheetId="5">#REF!</definedName>
    <definedName name="nomeobra" localSheetId="6">#REF!</definedName>
    <definedName name="nomeobra">#REF!</definedName>
    <definedName name="obra" localSheetId="4">#REF!</definedName>
    <definedName name="obra" localSheetId="5">#REF!</definedName>
    <definedName name="obra" localSheetId="6">#REF!</definedName>
    <definedName name="obra">#REF!</definedName>
    <definedName name="ORGAO">[1]PLANILHA!$C$2</definedName>
    <definedName name="ref" localSheetId="4">#REF!</definedName>
    <definedName name="ref" localSheetId="5">#REF!</definedName>
    <definedName name="ref" localSheetId="6">#REF!</definedName>
    <definedName name="ref">#REF!</definedName>
    <definedName name="SERV1">[1]PLANILHA!$C$9</definedName>
    <definedName name="SERV10">[1]PLANILHA!$C$54</definedName>
    <definedName name="SERV11">[1]PLANILHA!$C$59</definedName>
    <definedName name="SERV12">[1]PLANILHA!$C$64</definedName>
    <definedName name="SERV13">[1]PLANILHA!$C$69</definedName>
    <definedName name="SERV14">[1]PLANILHA!$C$74</definedName>
    <definedName name="SERV15">[1]PLANILHA!$C$79</definedName>
    <definedName name="SERV16">[1]PLANILHA!$C$84</definedName>
    <definedName name="SERV17">[1]PLANILHA!$C$89</definedName>
    <definedName name="SERV18">[1]PLANILHA!$C$94</definedName>
    <definedName name="SERV19">[1]PLANILHA!$C$99</definedName>
    <definedName name="SERV2">[1]PLANILHA!$C$14</definedName>
    <definedName name="SERV20">[1]PLANILHA!$C$104</definedName>
    <definedName name="SERV21">[1]PLANILHA!$C$109</definedName>
    <definedName name="SERV22">[1]PLANILHA!$C$114</definedName>
    <definedName name="SERV23">[1]PLANILHA!$C$120</definedName>
    <definedName name="SERV3">[1]PLANILHA!$C$19</definedName>
    <definedName name="SERV4">[1]PLANILHA!$C$24</definedName>
    <definedName name="SERV5">[1]PLANILHA!$C$29</definedName>
    <definedName name="SERV6">[1]PLANILHA!$C$34</definedName>
    <definedName name="SERV7">[1]PLANILHA!$C$39</definedName>
    <definedName name="SERV8">[1]PLANILHA!$C$44</definedName>
    <definedName name="SERV9">[1]PLANILHA!$C$49</definedName>
    <definedName name="_xlnm.Print_Titles" localSheetId="2">'25ª MEDIÇÃO - OUT 2025'!$1:$8</definedName>
    <definedName name="_xlnm.Print_Titles" localSheetId="3">'Memoria 1'!$A:$L,'Memoria 1'!$1:$7</definedName>
    <definedName name="_xlnm.Print_Titles" localSheetId="4">'Memoria 2'!$A:$L,'Memoria 2'!$1:$7</definedName>
    <definedName name="_xlnm.Print_Titles" localSheetId="5">'Memoria 3'!$A:$L,'Memoria 3'!$1:$7</definedName>
    <definedName name="_xlnm.Print_Titles" localSheetId="6">'Memoria 4'!$A:$L,'Memoria 4'!$1:$7</definedName>
    <definedName name="total1">[1]PLANILHA!$H$12</definedName>
    <definedName name="TOTAL10">[1]PLANILHA!$H$57</definedName>
    <definedName name="TOTAL11">[1]PLANILHA!$H$62</definedName>
    <definedName name="TOTAL12">[1]PLANILHA!$H$67</definedName>
    <definedName name="TOTAL13">[1]PLANILHA!$H$72</definedName>
    <definedName name="TOTAL14">[1]PLANILHA!$H$77</definedName>
    <definedName name="TOTAL15">[1]PLANILHA!$H$82</definedName>
    <definedName name="TOTAL16">[1]PLANILHA!$H$87</definedName>
    <definedName name="TOTAL17">[1]PLANILHA!$H$92</definedName>
    <definedName name="TOTAL18">[1]PLANILHA!$H$97</definedName>
    <definedName name="TOTAL19">[1]PLANILHA!$H$102</definedName>
    <definedName name="TOTAL2">[1]PLANILHA!$H$17</definedName>
    <definedName name="TOTAL20">[1]PLANILHA!$H$107</definedName>
    <definedName name="TOTAL21">[1]PLANILHA!$H$112</definedName>
    <definedName name="TOTAL22">[1]PLANILHA!$H$118</definedName>
    <definedName name="TOTAL3">[1]PLANILHA!$H$22</definedName>
    <definedName name="TOTAL4">[1]PLANILHA!$H$27</definedName>
    <definedName name="TOTAL5">[1]PLANILHA!$H$32</definedName>
    <definedName name="TOTAL6">[1]PLANILHA!$H$37</definedName>
    <definedName name="TOTAL7">[1]PLANILHA!$H$42</definedName>
    <definedName name="TOTAL8">[1]PLANILHA!$H$47</definedName>
    <definedName name="TOTAL9">[1]PLANILHA!$H$52</definedName>
    <definedName name="totger" localSheetId="4">#REF!</definedName>
    <definedName name="totger" localSheetId="5">#REF!</definedName>
    <definedName name="totger" localSheetId="6">#REF!</definedName>
    <definedName name="totger">#REF!</definedName>
    <definedName name="ttmax" localSheetId="4">[1]PLANILHA!#REF!</definedName>
    <definedName name="ttmax" localSheetId="5">[1]PLANILHA!#REF!</definedName>
    <definedName name="ttmax" localSheetId="6">[1]PLANILHA!#REF!</definedName>
    <definedName name="ttmax">[1]PLANILHA!#REF!</definedName>
  </definedNames>
  <calcPr calcId="191029"/>
</workbook>
</file>

<file path=xl/calcChain.xml><?xml version="1.0" encoding="utf-8"?>
<calcChain xmlns="http://schemas.openxmlformats.org/spreadsheetml/2006/main">
  <c r="J490" i="16" l="1"/>
  <c r="N87" i="16"/>
  <c r="N88" i="16" s="1"/>
  <c r="N643" i="16" l="1"/>
  <c r="P97" i="16" l="1"/>
  <c r="P98" i="16" s="1"/>
  <c r="O625" i="16"/>
  <c r="O490" i="16" l="1"/>
  <c r="N10" i="16" l="1"/>
  <c r="N11" i="16" s="1"/>
  <c r="N7" i="16"/>
  <c r="N6" i="16"/>
  <c r="N4" i="16"/>
  <c r="N3" i="16"/>
  <c r="N318" i="16"/>
  <c r="P368" i="16"/>
  <c r="N368" i="16"/>
  <c r="N367" i="16"/>
  <c r="P367" i="16" s="1"/>
  <c r="N339" i="16"/>
  <c r="N338" i="16" s="1"/>
  <c r="M340" i="16" l="1"/>
  <c r="M44" i="16" l="1"/>
  <c r="O77" i="16" l="1"/>
  <c r="O112" i="16"/>
  <c r="O115" i="16"/>
  <c r="O405" i="16"/>
  <c r="O406" i="16"/>
  <c r="O454" i="16"/>
  <c r="O455" i="16"/>
  <c r="O468" i="16"/>
  <c r="O471" i="16"/>
  <c r="O473" i="16"/>
  <c r="O474" i="16"/>
  <c r="O482" i="16"/>
  <c r="O489" i="16"/>
  <c r="O498" i="16"/>
  <c r="O499" i="16"/>
  <c r="O503" i="16"/>
  <c r="O505" i="16"/>
  <c r="O520" i="16"/>
  <c r="O531" i="16"/>
  <c r="O547" i="16"/>
  <c r="O552" i="16"/>
  <c r="O561" i="16"/>
  <c r="O563" i="16"/>
  <c r="O588" i="16"/>
  <c r="O595" i="16"/>
  <c r="O598" i="16"/>
  <c r="O601" i="16"/>
  <c r="O618" i="16"/>
  <c r="O620" i="16"/>
  <c r="O621" i="16"/>
  <c r="O629" i="16"/>
  <c r="O635" i="16"/>
  <c r="O636" i="16"/>
  <c r="O488" i="16"/>
  <c r="O526" i="16"/>
  <c r="O542" i="16"/>
  <c r="O558" i="16"/>
  <c r="O92" i="16"/>
  <c r="O97" i="16"/>
  <c r="O109" i="16"/>
  <c r="O397" i="16"/>
  <c r="O398" i="16"/>
  <c r="O442" i="16"/>
  <c r="O443" i="16"/>
  <c r="O444" i="16"/>
  <c r="O446" i="16"/>
  <c r="O447" i="16"/>
  <c r="O449" i="16"/>
  <c r="O452" i="16"/>
  <c r="O462" i="16"/>
  <c r="O469" i="16"/>
  <c r="O479" i="16"/>
  <c r="O481" i="16"/>
  <c r="O486" i="16"/>
  <c r="O491" i="16"/>
  <c r="O493" i="16"/>
  <c r="O496" i="16"/>
  <c r="O502" i="16"/>
  <c r="O508" i="16"/>
  <c r="O512" i="16"/>
  <c r="O513" i="16"/>
  <c r="O516" i="16"/>
  <c r="O527" i="16"/>
  <c r="O534" i="16"/>
  <c r="O540" i="16"/>
  <c r="O549" i="16"/>
  <c r="O560" i="16"/>
  <c r="O567" i="16"/>
  <c r="O571" i="16"/>
  <c r="O578" i="16"/>
  <c r="O582" i="16"/>
  <c r="O583" i="16"/>
  <c r="O591" i="16"/>
  <c r="O592" i="16"/>
  <c r="O607" i="16"/>
  <c r="O608" i="16"/>
  <c r="O612" i="16"/>
  <c r="O626" i="16"/>
  <c r="O627" i="16"/>
  <c r="O630" i="16"/>
  <c r="O632" i="16"/>
  <c r="P176" i="16" l="1"/>
  <c r="K172" i="16" l="1"/>
  <c r="Q337" i="16" l="1"/>
  <c r="R2" i="16" l="1"/>
  <c r="J96" i="16" l="1"/>
  <c r="J470" i="16" l="1"/>
  <c r="K470" i="16" s="1"/>
  <c r="M442" i="16"/>
  <c r="M443" i="16"/>
  <c r="M444" i="16"/>
  <c r="M446" i="16"/>
  <c r="M447" i="16"/>
  <c r="M449" i="16"/>
  <c r="M452" i="16"/>
  <c r="M454" i="16"/>
  <c r="M455" i="16"/>
  <c r="M462" i="16"/>
  <c r="M468" i="16"/>
  <c r="M469" i="16"/>
  <c r="M471" i="16"/>
  <c r="M473" i="16"/>
  <c r="M474" i="16"/>
  <c r="M479" i="16"/>
  <c r="M481" i="16"/>
  <c r="M482" i="16"/>
  <c r="M486" i="16"/>
  <c r="M488" i="16"/>
  <c r="M489" i="16"/>
  <c r="M491" i="16"/>
  <c r="M493" i="16"/>
  <c r="M496" i="16"/>
  <c r="M498" i="16"/>
  <c r="M499" i="16"/>
  <c r="M502" i="16"/>
  <c r="M503" i="16"/>
  <c r="M505" i="16"/>
  <c r="M508" i="16"/>
  <c r="M512" i="16"/>
  <c r="M513" i="16"/>
  <c r="M516" i="16"/>
  <c r="M520" i="16"/>
  <c r="M526" i="16"/>
  <c r="M527" i="16"/>
  <c r="M531" i="16"/>
  <c r="M534" i="16"/>
  <c r="M540" i="16"/>
  <c r="M542" i="16"/>
  <c r="M547" i="16"/>
  <c r="M549" i="16"/>
  <c r="M552" i="16"/>
  <c r="M558" i="16"/>
  <c r="M560" i="16"/>
  <c r="M561" i="16"/>
  <c r="M563" i="16"/>
  <c r="M567" i="16"/>
  <c r="M571" i="16"/>
  <c r="M578" i="16"/>
  <c r="M582" i="16"/>
  <c r="M583" i="16"/>
  <c r="M588" i="16"/>
  <c r="M591" i="16"/>
  <c r="M592" i="16"/>
  <c r="M595" i="16"/>
  <c r="M598" i="16"/>
  <c r="M601" i="16"/>
  <c r="M607" i="16"/>
  <c r="M608" i="16"/>
  <c r="M612" i="16"/>
  <c r="M618" i="16"/>
  <c r="M620" i="16"/>
  <c r="M621" i="16"/>
  <c r="M626" i="16"/>
  <c r="M627" i="16"/>
  <c r="M629" i="16"/>
  <c r="M630" i="16"/>
  <c r="M632" i="16"/>
  <c r="J633" i="16"/>
  <c r="K633" i="16" s="1"/>
  <c r="J631" i="16"/>
  <c r="K631" i="16" s="1"/>
  <c r="J628" i="16"/>
  <c r="K628" i="16" s="1"/>
  <c r="J625" i="16"/>
  <c r="K625" i="16" s="1"/>
  <c r="J624" i="16"/>
  <c r="K624" i="16" s="1"/>
  <c r="J623" i="16"/>
  <c r="K623" i="16" s="1"/>
  <c r="J622" i="16"/>
  <c r="K622" i="16" s="1"/>
  <c r="J619" i="16"/>
  <c r="K619" i="16" s="1"/>
  <c r="J617" i="16"/>
  <c r="K617" i="16" s="1"/>
  <c r="J616" i="16"/>
  <c r="K616" i="16" s="1"/>
  <c r="J615" i="16"/>
  <c r="K615" i="16" s="1"/>
  <c r="J614" i="16"/>
  <c r="K614" i="16" s="1"/>
  <c r="J613" i="16"/>
  <c r="K613" i="16" s="1"/>
  <c r="J611" i="16"/>
  <c r="K611" i="16" s="1"/>
  <c r="J610" i="16"/>
  <c r="K610" i="16" s="1"/>
  <c r="J609" i="16"/>
  <c r="K609" i="16" s="1"/>
  <c r="J606" i="16"/>
  <c r="K606" i="16" s="1"/>
  <c r="J605" i="16"/>
  <c r="K605" i="16" s="1"/>
  <c r="J604" i="16"/>
  <c r="K604" i="16" s="1"/>
  <c r="J603" i="16"/>
  <c r="K603" i="16" s="1"/>
  <c r="J602" i="16"/>
  <c r="K602" i="16" s="1"/>
  <c r="J600" i="16"/>
  <c r="K600" i="16" s="1"/>
  <c r="J599" i="16"/>
  <c r="K599" i="16" s="1"/>
  <c r="J597" i="16"/>
  <c r="K597" i="16" s="1"/>
  <c r="J594" i="16"/>
  <c r="K594" i="16" s="1"/>
  <c r="J593" i="16"/>
  <c r="K593" i="16" s="1"/>
  <c r="J590" i="16"/>
  <c r="K590" i="16" s="1"/>
  <c r="J589" i="16"/>
  <c r="K589" i="16" s="1"/>
  <c r="J587" i="16"/>
  <c r="K587" i="16" s="1"/>
  <c r="J586" i="16"/>
  <c r="K586" i="16" s="1"/>
  <c r="J585" i="16"/>
  <c r="K585" i="16" s="1"/>
  <c r="J584" i="16"/>
  <c r="K584" i="16" s="1"/>
  <c r="J581" i="16"/>
  <c r="K581" i="16" s="1"/>
  <c r="J580" i="16"/>
  <c r="K580" i="16" s="1"/>
  <c r="J579" i="16"/>
  <c r="K579" i="16" s="1"/>
  <c r="J577" i="16"/>
  <c r="K577" i="16" s="1"/>
  <c r="J576" i="16"/>
  <c r="K576" i="16" s="1"/>
  <c r="J575" i="16"/>
  <c r="K575" i="16" s="1"/>
  <c r="J574" i="16"/>
  <c r="K574" i="16" s="1"/>
  <c r="J573" i="16"/>
  <c r="K573" i="16" s="1"/>
  <c r="J572" i="16"/>
  <c r="K572" i="16" s="1"/>
  <c r="J570" i="16"/>
  <c r="K570" i="16" s="1"/>
  <c r="J569" i="16"/>
  <c r="K569" i="16" s="1"/>
  <c r="J568" i="16"/>
  <c r="K568" i="16" s="1"/>
  <c r="J566" i="16"/>
  <c r="K566" i="16" s="1"/>
  <c r="J565" i="16"/>
  <c r="K565" i="16" s="1"/>
  <c r="J564" i="16"/>
  <c r="K564" i="16" s="1"/>
  <c r="J562" i="16"/>
  <c r="K562" i="16" s="1"/>
  <c r="J559" i="16"/>
  <c r="K559" i="16" s="1"/>
  <c r="J557" i="16"/>
  <c r="K557" i="16" s="1"/>
  <c r="J556" i="16"/>
  <c r="K556" i="16" s="1"/>
  <c r="J555" i="16"/>
  <c r="K555" i="16" s="1"/>
  <c r="J554" i="16"/>
  <c r="K554" i="16" s="1"/>
  <c r="J553" i="16"/>
  <c r="K553" i="16" s="1"/>
  <c r="J551" i="16"/>
  <c r="K551" i="16" s="1"/>
  <c r="J550" i="16"/>
  <c r="K550" i="16" s="1"/>
  <c r="J548" i="16"/>
  <c r="K548" i="16" s="1"/>
  <c r="J546" i="16"/>
  <c r="K546" i="16" s="1"/>
  <c r="J545" i="16"/>
  <c r="K545" i="16" s="1"/>
  <c r="J544" i="16"/>
  <c r="K544" i="16" s="1"/>
  <c r="J543" i="16"/>
  <c r="K543" i="16" s="1"/>
  <c r="J541" i="16"/>
  <c r="K541" i="16" s="1"/>
  <c r="J539" i="16"/>
  <c r="K539" i="16" s="1"/>
  <c r="J538" i="16"/>
  <c r="K538" i="16" s="1"/>
  <c r="J537" i="16"/>
  <c r="K537" i="16" s="1"/>
  <c r="J536" i="16"/>
  <c r="K536" i="16" s="1"/>
  <c r="J535" i="16"/>
  <c r="K535" i="16" s="1"/>
  <c r="J533" i="16"/>
  <c r="K533" i="16" s="1"/>
  <c r="J532" i="16"/>
  <c r="K532" i="16" s="1"/>
  <c r="J530" i="16"/>
  <c r="K530" i="16" s="1"/>
  <c r="J529" i="16"/>
  <c r="K529" i="16" s="1"/>
  <c r="J528" i="16"/>
  <c r="K528" i="16" s="1"/>
  <c r="J525" i="16"/>
  <c r="K525" i="16" s="1"/>
  <c r="J524" i="16"/>
  <c r="K524" i="16" s="1"/>
  <c r="J523" i="16"/>
  <c r="K523" i="16" s="1"/>
  <c r="J522" i="16"/>
  <c r="K522" i="16" s="1"/>
  <c r="J521" i="16"/>
  <c r="K521" i="16" s="1"/>
  <c r="J519" i="16"/>
  <c r="K519" i="16" s="1"/>
  <c r="J518" i="16"/>
  <c r="K518" i="16" s="1"/>
  <c r="J517" i="16"/>
  <c r="K517" i="16" s="1"/>
  <c r="J515" i="16"/>
  <c r="K515" i="16" s="1"/>
  <c r="J514" i="16"/>
  <c r="K514" i="16" s="1"/>
  <c r="J511" i="16"/>
  <c r="K511" i="16" s="1"/>
  <c r="J510" i="16"/>
  <c r="K510" i="16" s="1"/>
  <c r="J509" i="16"/>
  <c r="K509" i="16" s="1"/>
  <c r="J507" i="16"/>
  <c r="K507" i="16" s="1"/>
  <c r="J506" i="16"/>
  <c r="K506" i="16" s="1"/>
  <c r="J504" i="16"/>
  <c r="K504" i="16" s="1"/>
  <c r="J501" i="16"/>
  <c r="K501" i="16" s="1"/>
  <c r="J500" i="16"/>
  <c r="K500" i="16" s="1"/>
  <c r="J497" i="16"/>
  <c r="K497" i="16" s="1"/>
  <c r="J495" i="16"/>
  <c r="K495" i="16" s="1"/>
  <c r="J494" i="16"/>
  <c r="K494" i="16" s="1"/>
  <c r="J492" i="16"/>
  <c r="K492" i="16" s="1"/>
  <c r="J487" i="16"/>
  <c r="K487" i="16" s="1"/>
  <c r="J485" i="16"/>
  <c r="K485" i="16" s="1"/>
  <c r="J484" i="16"/>
  <c r="K484" i="16" s="1"/>
  <c r="J483" i="16"/>
  <c r="K483" i="16" s="1"/>
  <c r="J480" i="16"/>
  <c r="K480" i="16" s="1"/>
  <c r="J478" i="16"/>
  <c r="K478" i="16" s="1"/>
  <c r="J477" i="16"/>
  <c r="K477" i="16" s="1"/>
  <c r="J476" i="16"/>
  <c r="K476" i="16" s="1"/>
  <c r="J475" i="16"/>
  <c r="K475" i="16" s="1"/>
  <c r="J472" i="16"/>
  <c r="K472" i="16" s="1"/>
  <c r="J467" i="16"/>
  <c r="K467" i="16" s="1"/>
  <c r="J466" i="16"/>
  <c r="K466" i="16" s="1"/>
  <c r="J465" i="16"/>
  <c r="K465" i="16" s="1"/>
  <c r="J464" i="16"/>
  <c r="K464" i="16" s="1"/>
  <c r="J463" i="16"/>
  <c r="K463" i="16" s="1"/>
  <c r="J461" i="16"/>
  <c r="K461" i="16" s="1"/>
  <c r="J460" i="16"/>
  <c r="K460" i="16" s="1"/>
  <c r="J459" i="16"/>
  <c r="K459" i="16" s="1"/>
  <c r="J458" i="16"/>
  <c r="K458" i="16" s="1"/>
  <c r="J457" i="16"/>
  <c r="K457" i="16" s="1"/>
  <c r="J456" i="16"/>
  <c r="K456" i="16" s="1"/>
  <c r="J453" i="16"/>
  <c r="K453" i="16" s="1"/>
  <c r="J451" i="16"/>
  <c r="K451" i="16" s="1"/>
  <c r="J450" i="16"/>
  <c r="K450" i="16" s="1"/>
  <c r="J448" i="16"/>
  <c r="K448" i="16" s="1"/>
  <c r="J445" i="16"/>
  <c r="K445" i="16" s="1"/>
  <c r="J408" i="16"/>
  <c r="K408" i="16" s="1"/>
  <c r="J409" i="16"/>
  <c r="K409" i="16" s="1"/>
  <c r="J410" i="16"/>
  <c r="K410" i="16" s="1"/>
  <c r="J411" i="16"/>
  <c r="K411" i="16" s="1"/>
  <c r="J412" i="16"/>
  <c r="K412" i="16" s="1"/>
  <c r="J413" i="16"/>
  <c r="K413" i="16" s="1"/>
  <c r="J414" i="16"/>
  <c r="K414" i="16" s="1"/>
  <c r="J415" i="16"/>
  <c r="K415" i="16" s="1"/>
  <c r="J416" i="16"/>
  <c r="K416" i="16" s="1"/>
  <c r="J417" i="16"/>
  <c r="K417" i="16" s="1"/>
  <c r="J418" i="16"/>
  <c r="K418" i="16" s="1"/>
  <c r="J419" i="16"/>
  <c r="K419" i="16" s="1"/>
  <c r="J420" i="16"/>
  <c r="K420" i="16" s="1"/>
  <c r="J421" i="16"/>
  <c r="K421" i="16" s="1"/>
  <c r="J422" i="16"/>
  <c r="K422" i="16" s="1"/>
  <c r="J423" i="16"/>
  <c r="K423" i="16" s="1"/>
  <c r="J424" i="16"/>
  <c r="K424" i="16" s="1"/>
  <c r="J425" i="16"/>
  <c r="K425" i="16" s="1"/>
  <c r="J426" i="16"/>
  <c r="K426" i="16" s="1"/>
  <c r="J427" i="16"/>
  <c r="K427" i="16" s="1"/>
  <c r="J428" i="16"/>
  <c r="K428" i="16" s="1"/>
  <c r="J429" i="16"/>
  <c r="K429" i="16" s="1"/>
  <c r="J430" i="16"/>
  <c r="K430" i="16" s="1"/>
  <c r="J431" i="16"/>
  <c r="K431" i="16" s="1"/>
  <c r="J432" i="16"/>
  <c r="K432" i="16" s="1"/>
  <c r="J433" i="16"/>
  <c r="K433" i="16" s="1"/>
  <c r="J434" i="16"/>
  <c r="K434" i="16" s="1"/>
  <c r="J435" i="16"/>
  <c r="K435" i="16" s="1"/>
  <c r="J436" i="16"/>
  <c r="K436" i="16" s="1"/>
  <c r="J437" i="16"/>
  <c r="K437" i="16" s="1"/>
  <c r="J438" i="16"/>
  <c r="K438" i="16" s="1"/>
  <c r="J439" i="16"/>
  <c r="K439" i="16" s="1"/>
  <c r="J440" i="16"/>
  <c r="K440" i="16" s="1"/>
  <c r="J407" i="16" l="1"/>
  <c r="K407" i="16" s="1"/>
  <c r="K441" i="16" s="1"/>
  <c r="F633" i="16" l="1"/>
  <c r="F631" i="16"/>
  <c r="F628" i="16"/>
  <c r="F625" i="16"/>
  <c r="F624" i="16"/>
  <c r="F623" i="16"/>
  <c r="F622" i="16"/>
  <c r="F619" i="16"/>
  <c r="F617" i="16"/>
  <c r="F616" i="16"/>
  <c r="F615" i="16"/>
  <c r="F614" i="16"/>
  <c r="F613" i="16"/>
  <c r="F611" i="16"/>
  <c r="F610" i="16"/>
  <c r="F609" i="16"/>
  <c r="F606" i="16"/>
  <c r="F605" i="16"/>
  <c r="F604" i="16"/>
  <c r="F603" i="16"/>
  <c r="F602" i="16"/>
  <c r="F600" i="16"/>
  <c r="F599" i="16"/>
  <c r="F597" i="16"/>
  <c r="F596" i="16"/>
  <c r="F594" i="16"/>
  <c r="F593" i="16"/>
  <c r="F590" i="16"/>
  <c r="F589" i="16"/>
  <c r="F587" i="16"/>
  <c r="F586" i="16"/>
  <c r="F585" i="16"/>
  <c r="F584" i="16"/>
  <c r="F581" i="16"/>
  <c r="F580" i="16"/>
  <c r="F579" i="16"/>
  <c r="F577" i="16"/>
  <c r="F576" i="16"/>
  <c r="F575" i="16"/>
  <c r="F574" i="16"/>
  <c r="F573" i="16"/>
  <c r="F572" i="16"/>
  <c r="F570" i="16"/>
  <c r="F569" i="16"/>
  <c r="F568" i="16"/>
  <c r="F566" i="16"/>
  <c r="F565" i="16"/>
  <c r="F564" i="16"/>
  <c r="F562" i="16"/>
  <c r="F559" i="16"/>
  <c r="F557" i="16"/>
  <c r="F556" i="16"/>
  <c r="F555" i="16"/>
  <c r="F554" i="16"/>
  <c r="F553" i="16"/>
  <c r="F551" i="16"/>
  <c r="F550" i="16"/>
  <c r="F548" i="16"/>
  <c r="F546" i="16"/>
  <c r="F545" i="16"/>
  <c r="F544" i="16"/>
  <c r="F543" i="16"/>
  <c r="F541" i="16"/>
  <c r="F539" i="16"/>
  <c r="F538" i="16"/>
  <c r="F537" i="16"/>
  <c r="F536" i="16"/>
  <c r="F535" i="16"/>
  <c r="F533" i="16"/>
  <c r="F532" i="16"/>
  <c r="F530" i="16"/>
  <c r="F529" i="16"/>
  <c r="F528" i="16"/>
  <c r="F525" i="16"/>
  <c r="F524" i="16"/>
  <c r="F523" i="16"/>
  <c r="F522" i="16"/>
  <c r="F521" i="16"/>
  <c r="F519" i="16"/>
  <c r="F518" i="16"/>
  <c r="F517" i="16"/>
  <c r="F515" i="16"/>
  <c r="F514" i="16"/>
  <c r="F511" i="16"/>
  <c r="F510" i="16"/>
  <c r="F509" i="16"/>
  <c r="F507" i="16"/>
  <c r="F506" i="16"/>
  <c r="F504" i="16"/>
  <c r="F501" i="16"/>
  <c r="F500" i="16"/>
  <c r="F497" i="16"/>
  <c r="F495" i="16"/>
  <c r="F494" i="16"/>
  <c r="F492" i="16"/>
  <c r="F490" i="16"/>
  <c r="K490" i="16" s="1"/>
  <c r="N490" i="16" s="1"/>
  <c r="F487" i="16"/>
  <c r="F485" i="16"/>
  <c r="F484" i="16"/>
  <c r="F483" i="16"/>
  <c r="F480" i="16"/>
  <c r="F478" i="16"/>
  <c r="F477" i="16"/>
  <c r="F476" i="16"/>
  <c r="F475" i="16"/>
  <c r="F472" i="16"/>
  <c r="F470" i="16"/>
  <c r="F467" i="16"/>
  <c r="F466" i="16"/>
  <c r="F465" i="16"/>
  <c r="F464" i="16"/>
  <c r="F463" i="16"/>
  <c r="F461" i="16"/>
  <c r="F460" i="16"/>
  <c r="F459" i="16"/>
  <c r="F458" i="16"/>
  <c r="F457" i="16"/>
  <c r="F456" i="16"/>
  <c r="F453" i="16"/>
  <c r="F451" i="16"/>
  <c r="F450" i="16"/>
  <c r="F448" i="16"/>
  <c r="F445" i="16"/>
  <c r="F408" i="16"/>
  <c r="F409" i="16"/>
  <c r="F410" i="16"/>
  <c r="F411" i="16"/>
  <c r="F412" i="16"/>
  <c r="F413" i="16"/>
  <c r="F414" i="16"/>
  <c r="F415" i="16"/>
  <c r="F416" i="16"/>
  <c r="F417" i="16"/>
  <c r="F418" i="16"/>
  <c r="F419" i="16"/>
  <c r="F420" i="16"/>
  <c r="F421" i="16"/>
  <c r="F422" i="16"/>
  <c r="F423" i="16"/>
  <c r="F424" i="16"/>
  <c r="F425" i="16"/>
  <c r="F426" i="16"/>
  <c r="O426" i="16" s="1"/>
  <c r="F427" i="16"/>
  <c r="F428" i="16"/>
  <c r="F429" i="16"/>
  <c r="F430" i="16"/>
  <c r="F431" i="16"/>
  <c r="F432" i="16"/>
  <c r="F433" i="16"/>
  <c r="F434" i="16"/>
  <c r="F435" i="16"/>
  <c r="F436" i="16"/>
  <c r="F437" i="16"/>
  <c r="F438" i="16"/>
  <c r="F439" i="16"/>
  <c r="F440" i="16"/>
  <c r="F407" i="16"/>
  <c r="O438" i="16" l="1"/>
  <c r="O501" i="16"/>
  <c r="O525" i="16"/>
  <c r="O548" i="16"/>
  <c r="O572" i="16"/>
  <c r="O594" i="16"/>
  <c r="O616" i="16"/>
  <c r="O551" i="16"/>
  <c r="O574" i="16"/>
  <c r="O597" i="16"/>
  <c r="O619" i="16"/>
  <c r="O550" i="16"/>
  <c r="O530" i="16"/>
  <c r="O553" i="16"/>
  <c r="O575" i="16"/>
  <c r="O599" i="16"/>
  <c r="O622" i="16"/>
  <c r="O421" i="16"/>
  <c r="O436" i="16"/>
  <c r="O478" i="16"/>
  <c r="O532" i="16"/>
  <c r="O554" i="16"/>
  <c r="O576" i="16"/>
  <c r="O600" i="16"/>
  <c r="O623" i="16"/>
  <c r="O504" i="16"/>
  <c r="O433" i="16"/>
  <c r="O533" i="16"/>
  <c r="O555" i="16"/>
  <c r="O577" i="16"/>
  <c r="O602" i="16"/>
  <c r="O624" i="16"/>
  <c r="O573" i="16"/>
  <c r="O419" i="16"/>
  <c r="O432" i="16"/>
  <c r="O511" i="16"/>
  <c r="O535" i="16"/>
  <c r="O556" i="16"/>
  <c r="O579" i="16"/>
  <c r="O603" i="16"/>
  <c r="O422" i="16"/>
  <c r="O529" i="16"/>
  <c r="O434" i="16"/>
  <c r="O484" i="16"/>
  <c r="O514" i="16"/>
  <c r="O536" i="16"/>
  <c r="O557" i="16"/>
  <c r="O580" i="16"/>
  <c r="O604" i="16"/>
  <c r="O628" i="16"/>
  <c r="O617" i="16"/>
  <c r="O453" i="16"/>
  <c r="O480" i="16"/>
  <c r="O460" i="16"/>
  <c r="O485" i="16"/>
  <c r="O515" i="16"/>
  <c r="O537" i="16"/>
  <c r="O559" i="16"/>
  <c r="O581" i="16"/>
  <c r="O605" i="16"/>
  <c r="O631" i="16"/>
  <c r="O472" i="16"/>
  <c r="O451" i="16"/>
  <c r="O510" i="16"/>
  <c r="O487" i="16"/>
  <c r="O517" i="16"/>
  <c r="O538" i="16"/>
  <c r="O562" i="16"/>
  <c r="O584" i="16"/>
  <c r="O606" i="16"/>
  <c r="O633" i="16"/>
  <c r="O437" i="16"/>
  <c r="O420" i="16"/>
  <c r="O509" i="16"/>
  <c r="O459" i="16"/>
  <c r="O518" i="16"/>
  <c r="O539" i="16"/>
  <c r="O564" i="16"/>
  <c r="O585" i="16"/>
  <c r="O609" i="16"/>
  <c r="O528" i="16"/>
  <c r="O507" i="16"/>
  <c r="O483" i="16"/>
  <c r="O461" i="16"/>
  <c r="O427" i="16"/>
  <c r="O411" i="16"/>
  <c r="O464" i="16"/>
  <c r="O492" i="16"/>
  <c r="O519" i="16"/>
  <c r="O541" i="16"/>
  <c r="O565" i="16"/>
  <c r="O586" i="16"/>
  <c r="O610" i="16"/>
  <c r="O475" i="16"/>
  <c r="O476" i="16"/>
  <c r="O456" i="16"/>
  <c r="O458" i="16"/>
  <c r="O430" i="16"/>
  <c r="O428" i="16"/>
  <c r="O465" i="16"/>
  <c r="O494" i="16"/>
  <c r="O521" i="16"/>
  <c r="O543" i="16"/>
  <c r="O566" i="16"/>
  <c r="O587" i="16"/>
  <c r="O611" i="16"/>
  <c r="O448" i="16"/>
  <c r="O506" i="16"/>
  <c r="O418" i="16"/>
  <c r="O416" i="16"/>
  <c r="O414" i="16"/>
  <c r="O425" i="16"/>
  <c r="O409" i="16"/>
  <c r="O466" i="16"/>
  <c r="O495" i="16"/>
  <c r="O522" i="16"/>
  <c r="O544" i="16"/>
  <c r="O568" i="16"/>
  <c r="O589" i="16"/>
  <c r="O613" i="16"/>
  <c r="O407" i="16"/>
  <c r="O450" i="16"/>
  <c r="O477" i="16"/>
  <c r="O417" i="16"/>
  <c r="O431" i="16"/>
  <c r="O429" i="16"/>
  <c r="O463" i="16"/>
  <c r="O440" i="16"/>
  <c r="O424" i="16"/>
  <c r="O408" i="16"/>
  <c r="O467" i="16"/>
  <c r="O497" i="16"/>
  <c r="O523" i="16"/>
  <c r="O545" i="16"/>
  <c r="O569" i="16"/>
  <c r="O590" i="16"/>
  <c r="O614" i="16"/>
  <c r="O435" i="16"/>
  <c r="O457" i="16"/>
  <c r="O415" i="16"/>
  <c r="O413" i="16"/>
  <c r="O412" i="16"/>
  <c r="O410" i="16"/>
  <c r="O439" i="16"/>
  <c r="O423" i="16"/>
  <c r="O445" i="16"/>
  <c r="O470" i="16"/>
  <c r="O500" i="16"/>
  <c r="O524" i="16"/>
  <c r="O546" i="16"/>
  <c r="O570" i="16"/>
  <c r="O593" i="16"/>
  <c r="O615" i="16"/>
  <c r="I429" i="16"/>
  <c r="I568" i="16"/>
  <c r="I589" i="16"/>
  <c r="I613" i="16"/>
  <c r="I569" i="16"/>
  <c r="I590" i="16"/>
  <c r="I614" i="16"/>
  <c r="I570" i="16"/>
  <c r="I593" i="16"/>
  <c r="I615" i="16"/>
  <c r="I501" i="16"/>
  <c r="I572" i="16"/>
  <c r="I594" i="16"/>
  <c r="I616" i="16"/>
  <c r="I550" i="16"/>
  <c r="I573" i="16"/>
  <c r="I617" i="16"/>
  <c r="I551" i="16"/>
  <c r="I574" i="16"/>
  <c r="I597" i="16"/>
  <c r="I619" i="16"/>
  <c r="I553" i="16"/>
  <c r="I575" i="16"/>
  <c r="I599" i="16"/>
  <c r="I622" i="16"/>
  <c r="I554" i="16"/>
  <c r="I576" i="16"/>
  <c r="I600" i="16"/>
  <c r="I623" i="16"/>
  <c r="I555" i="16"/>
  <c r="I577" i="16"/>
  <c r="I602" i="16"/>
  <c r="I624" i="16"/>
  <c r="I556" i="16"/>
  <c r="I579" i="16"/>
  <c r="I603" i="16"/>
  <c r="I625" i="16"/>
  <c r="I557" i="16"/>
  <c r="I580" i="16"/>
  <c r="I604" i="16"/>
  <c r="I628" i="16"/>
  <c r="I559" i="16"/>
  <c r="I581" i="16"/>
  <c r="I605" i="16"/>
  <c r="I562" i="16"/>
  <c r="I584" i="16"/>
  <c r="I606" i="16"/>
  <c r="I633" i="16"/>
  <c r="I564" i="16"/>
  <c r="I585" i="16"/>
  <c r="I609" i="16"/>
  <c r="I565" i="16"/>
  <c r="I586" i="16"/>
  <c r="I610" i="16"/>
  <c r="I566" i="16"/>
  <c r="I587" i="16"/>
  <c r="I611" i="16"/>
  <c r="I432" i="16"/>
  <c r="I480" i="16"/>
  <c r="I544" i="16"/>
  <c r="I439" i="16"/>
  <c r="I458" i="16"/>
  <c r="I467" i="16"/>
  <c r="I483" i="16"/>
  <c r="I497" i="16"/>
  <c r="I511" i="16"/>
  <c r="I523" i="16"/>
  <c r="I535" i="16"/>
  <c r="I545" i="16"/>
  <c r="I522" i="16"/>
  <c r="I500" i="16"/>
  <c r="I460" i="16"/>
  <c r="I472" i="16"/>
  <c r="I485" i="16"/>
  <c r="I515" i="16"/>
  <c r="I525" i="16"/>
  <c r="I537" i="16"/>
  <c r="I548" i="16"/>
  <c r="I631" i="16"/>
  <c r="I466" i="16"/>
  <c r="I438" i="16"/>
  <c r="I536" i="16"/>
  <c r="I450" i="16"/>
  <c r="I461" i="16"/>
  <c r="I475" i="16"/>
  <c r="I487" i="16"/>
  <c r="I504" i="16"/>
  <c r="I517" i="16"/>
  <c r="I528" i="16"/>
  <c r="I538" i="16"/>
  <c r="I510" i="16"/>
  <c r="I459" i="16"/>
  <c r="I524" i="16"/>
  <c r="I463" i="16"/>
  <c r="I476" i="16"/>
  <c r="I490" i="16"/>
  <c r="I506" i="16"/>
  <c r="I518" i="16"/>
  <c r="I539" i="16"/>
  <c r="I440" i="16"/>
  <c r="I457" i="16"/>
  <c r="I533" i="16"/>
  <c r="I484" i="16"/>
  <c r="I546" i="16"/>
  <c r="I435" i="16"/>
  <c r="I451" i="16"/>
  <c r="I434" i="16"/>
  <c r="I453" i="16"/>
  <c r="I464" i="16"/>
  <c r="I477" i="16"/>
  <c r="I492" i="16"/>
  <c r="I507" i="16"/>
  <c r="I519" i="16"/>
  <c r="I530" i="16"/>
  <c r="I541" i="16"/>
  <c r="I495" i="16"/>
  <c r="I514" i="16"/>
  <c r="I433" i="16"/>
  <c r="I456" i="16"/>
  <c r="I465" i="16"/>
  <c r="I478" i="16"/>
  <c r="I494" i="16"/>
  <c r="I509" i="16"/>
  <c r="I521" i="16"/>
  <c r="I532" i="16"/>
  <c r="I445" i="16"/>
  <c r="I470" i="16"/>
  <c r="I437" i="16"/>
  <c r="I448" i="16"/>
  <c r="I543" i="16"/>
  <c r="I436" i="16"/>
  <c r="I529" i="16"/>
  <c r="M570" i="16"/>
  <c r="L570" i="16"/>
  <c r="M436" i="16"/>
  <c r="L436" i="16"/>
  <c r="M528" i="16"/>
  <c r="L528" i="16"/>
  <c r="M550" i="16"/>
  <c r="L550" i="16"/>
  <c r="M573" i="16"/>
  <c r="L573" i="16"/>
  <c r="M617" i="16"/>
  <c r="L617" i="16"/>
  <c r="M546" i="16"/>
  <c r="L546" i="16"/>
  <c r="M437" i="16"/>
  <c r="L437" i="16"/>
  <c r="M435" i="16"/>
  <c r="L435" i="16"/>
  <c r="M451" i="16"/>
  <c r="L451" i="16"/>
  <c r="M476" i="16"/>
  <c r="L476" i="16"/>
  <c r="M506" i="16"/>
  <c r="L506" i="16"/>
  <c r="M529" i="16"/>
  <c r="L529" i="16"/>
  <c r="M551" i="16"/>
  <c r="L551" i="16"/>
  <c r="M574" i="16"/>
  <c r="L574" i="16"/>
  <c r="M597" i="16"/>
  <c r="L597" i="16"/>
  <c r="M619" i="16"/>
  <c r="L619" i="16"/>
  <c r="F634" i="16"/>
  <c r="M470" i="16"/>
  <c r="L470" i="16"/>
  <c r="M472" i="16"/>
  <c r="L472" i="16"/>
  <c r="M453" i="16"/>
  <c r="L453" i="16"/>
  <c r="M553" i="16"/>
  <c r="L553" i="16"/>
  <c r="M575" i="16"/>
  <c r="L575" i="16"/>
  <c r="M599" i="16"/>
  <c r="L599" i="16"/>
  <c r="M622" i="16"/>
  <c r="L622" i="16"/>
  <c r="M623" i="16"/>
  <c r="L623" i="16"/>
  <c r="M438" i="16"/>
  <c r="L438" i="16"/>
  <c r="M548" i="16"/>
  <c r="L548" i="16"/>
  <c r="M477" i="16"/>
  <c r="L477" i="16"/>
  <c r="I417" i="16"/>
  <c r="M417" i="16"/>
  <c r="L417" i="16"/>
  <c r="M480" i="16"/>
  <c r="L480" i="16"/>
  <c r="M510" i="16"/>
  <c r="L510" i="16"/>
  <c r="M533" i="16"/>
  <c r="L533" i="16"/>
  <c r="M555" i="16"/>
  <c r="L555" i="16"/>
  <c r="M577" i="16"/>
  <c r="L577" i="16"/>
  <c r="M602" i="16"/>
  <c r="L602" i="16"/>
  <c r="M624" i="16"/>
  <c r="L624" i="16"/>
  <c r="M616" i="16"/>
  <c r="L616" i="16"/>
  <c r="M434" i="16"/>
  <c r="L434" i="16"/>
  <c r="M554" i="16"/>
  <c r="L554" i="16"/>
  <c r="I415" i="16"/>
  <c r="M415" i="16"/>
  <c r="L415" i="16"/>
  <c r="M458" i="16"/>
  <c r="L458" i="16"/>
  <c r="M483" i="16"/>
  <c r="L483" i="16"/>
  <c r="M511" i="16"/>
  <c r="L511" i="16"/>
  <c r="M535" i="16"/>
  <c r="L535" i="16"/>
  <c r="M556" i="16"/>
  <c r="L556" i="16"/>
  <c r="M579" i="16"/>
  <c r="L579" i="16"/>
  <c r="M603" i="16"/>
  <c r="L603" i="16"/>
  <c r="M625" i="16"/>
  <c r="L625" i="16"/>
  <c r="M445" i="16"/>
  <c r="L445" i="16"/>
  <c r="M572" i="16"/>
  <c r="L572" i="16"/>
  <c r="I418" i="16"/>
  <c r="L418" i="16"/>
  <c r="M418" i="16"/>
  <c r="M433" i="16"/>
  <c r="L433" i="16"/>
  <c r="M457" i="16"/>
  <c r="L457" i="16"/>
  <c r="M430" i="16"/>
  <c r="L430" i="16"/>
  <c r="I414" i="16"/>
  <c r="L414" i="16"/>
  <c r="M414" i="16"/>
  <c r="M459" i="16"/>
  <c r="L459" i="16"/>
  <c r="M484" i="16"/>
  <c r="L484" i="16"/>
  <c r="M514" i="16"/>
  <c r="L514" i="16"/>
  <c r="M536" i="16"/>
  <c r="L536" i="16"/>
  <c r="M557" i="16"/>
  <c r="L557" i="16"/>
  <c r="M580" i="16"/>
  <c r="L580" i="16"/>
  <c r="M604" i="16"/>
  <c r="L604" i="16"/>
  <c r="M628" i="16"/>
  <c r="L628" i="16"/>
  <c r="M524" i="16"/>
  <c r="L524" i="16"/>
  <c r="M448" i="16"/>
  <c r="L448" i="16"/>
  <c r="M504" i="16"/>
  <c r="L504" i="16"/>
  <c r="M456" i="16"/>
  <c r="L456" i="16"/>
  <c r="I416" i="16"/>
  <c r="M416" i="16"/>
  <c r="L416" i="16"/>
  <c r="I431" i="16"/>
  <c r="L431" i="16"/>
  <c r="M431" i="16"/>
  <c r="I430" i="16"/>
  <c r="M429" i="16"/>
  <c r="L429" i="16"/>
  <c r="I413" i="16"/>
  <c r="L413" i="16"/>
  <c r="M413" i="16"/>
  <c r="M460" i="16"/>
  <c r="L460" i="16"/>
  <c r="M485" i="16"/>
  <c r="L485" i="16"/>
  <c r="M515" i="16"/>
  <c r="L515" i="16"/>
  <c r="M537" i="16"/>
  <c r="L537" i="16"/>
  <c r="M559" i="16"/>
  <c r="L559" i="16"/>
  <c r="M581" i="16"/>
  <c r="L581" i="16"/>
  <c r="M605" i="16"/>
  <c r="L605" i="16"/>
  <c r="M631" i="16"/>
  <c r="L631" i="16"/>
  <c r="M500" i="16"/>
  <c r="L500" i="16"/>
  <c r="I421" i="16"/>
  <c r="L421" i="16"/>
  <c r="M421" i="16"/>
  <c r="M475" i="16"/>
  <c r="L475" i="16"/>
  <c r="M509" i="16"/>
  <c r="L509" i="16"/>
  <c r="M517" i="16"/>
  <c r="L517" i="16"/>
  <c r="M538" i="16"/>
  <c r="L538" i="16"/>
  <c r="M562" i="16"/>
  <c r="L562" i="16"/>
  <c r="M584" i="16"/>
  <c r="L584" i="16"/>
  <c r="M606" i="16"/>
  <c r="L606" i="16"/>
  <c r="I422" i="16"/>
  <c r="M422" i="16"/>
  <c r="L422" i="16"/>
  <c r="M525" i="16"/>
  <c r="L525" i="16"/>
  <c r="M507" i="16"/>
  <c r="L507" i="16"/>
  <c r="M532" i="16"/>
  <c r="L532" i="16"/>
  <c r="M461" i="16"/>
  <c r="L461" i="16"/>
  <c r="I427" i="16"/>
  <c r="L427" i="16"/>
  <c r="M427" i="16"/>
  <c r="I411" i="16"/>
  <c r="M411" i="16"/>
  <c r="L411" i="16"/>
  <c r="M463" i="16"/>
  <c r="L463" i="16"/>
  <c r="M490" i="16"/>
  <c r="L490" i="16"/>
  <c r="M518" i="16"/>
  <c r="L518" i="16"/>
  <c r="M539" i="16"/>
  <c r="L539" i="16"/>
  <c r="M564" i="16"/>
  <c r="L564" i="16"/>
  <c r="M585" i="16"/>
  <c r="L585" i="16"/>
  <c r="M609" i="16"/>
  <c r="L609" i="16"/>
  <c r="M615" i="16"/>
  <c r="L615" i="16"/>
  <c r="M450" i="16"/>
  <c r="L450" i="16"/>
  <c r="M576" i="16"/>
  <c r="L576" i="16"/>
  <c r="I412" i="16"/>
  <c r="M412" i="16"/>
  <c r="L412" i="16"/>
  <c r="I426" i="16"/>
  <c r="L426" i="16"/>
  <c r="M426" i="16"/>
  <c r="I410" i="16"/>
  <c r="M410" i="16"/>
  <c r="L410" i="16"/>
  <c r="M464" i="16"/>
  <c r="L464" i="16"/>
  <c r="M492" i="16"/>
  <c r="L492" i="16"/>
  <c r="M519" i="16"/>
  <c r="L519" i="16"/>
  <c r="M541" i="16"/>
  <c r="L541" i="16"/>
  <c r="M565" i="16"/>
  <c r="L565" i="16"/>
  <c r="M586" i="16"/>
  <c r="L586" i="16"/>
  <c r="M610" i="16"/>
  <c r="L610" i="16"/>
  <c r="M593" i="16"/>
  <c r="L593" i="16"/>
  <c r="I420" i="16"/>
  <c r="L420" i="16"/>
  <c r="M420" i="16"/>
  <c r="M600" i="16"/>
  <c r="L600" i="16"/>
  <c r="I428" i="16"/>
  <c r="L428" i="16"/>
  <c r="M428" i="16"/>
  <c r="I425" i="16"/>
  <c r="M425" i="16"/>
  <c r="L425" i="16"/>
  <c r="M465" i="16"/>
  <c r="L465" i="16"/>
  <c r="L494" i="16"/>
  <c r="M494" i="16"/>
  <c r="M521" i="16"/>
  <c r="L521" i="16"/>
  <c r="M543" i="16"/>
  <c r="L543" i="16"/>
  <c r="M566" i="16"/>
  <c r="L566" i="16"/>
  <c r="M587" i="16"/>
  <c r="L587" i="16"/>
  <c r="M611" i="16"/>
  <c r="L611" i="16"/>
  <c r="M594" i="16"/>
  <c r="L594" i="16"/>
  <c r="I419" i="16"/>
  <c r="L419" i="16"/>
  <c r="M419" i="16"/>
  <c r="M478" i="16"/>
  <c r="L478" i="16"/>
  <c r="M432" i="16"/>
  <c r="L432" i="16"/>
  <c r="M487" i="16"/>
  <c r="L487" i="16"/>
  <c r="F441" i="16"/>
  <c r="M407" i="16"/>
  <c r="L407" i="16"/>
  <c r="I407" i="16"/>
  <c r="I409" i="16"/>
  <c r="L409" i="16"/>
  <c r="M409" i="16"/>
  <c r="M440" i="16"/>
  <c r="L440" i="16"/>
  <c r="I424" i="16"/>
  <c r="M424" i="16"/>
  <c r="L424" i="16"/>
  <c r="I408" i="16"/>
  <c r="M408" i="16"/>
  <c r="L408" i="16"/>
  <c r="M466" i="16"/>
  <c r="L466" i="16"/>
  <c r="M495" i="16"/>
  <c r="L495" i="16"/>
  <c r="M522" i="16"/>
  <c r="L522" i="16"/>
  <c r="M544" i="16"/>
  <c r="L544" i="16"/>
  <c r="M568" i="16"/>
  <c r="L568" i="16"/>
  <c r="M589" i="16"/>
  <c r="L589" i="16"/>
  <c r="M613" i="16"/>
  <c r="L613" i="16"/>
  <c r="M501" i="16"/>
  <c r="L501" i="16"/>
  <c r="M530" i="16"/>
  <c r="L530" i="16"/>
  <c r="M439" i="16"/>
  <c r="L439" i="16"/>
  <c r="I423" i="16"/>
  <c r="M423" i="16"/>
  <c r="L423" i="16"/>
  <c r="M467" i="16"/>
  <c r="L467" i="16"/>
  <c r="M497" i="16"/>
  <c r="L497" i="16"/>
  <c r="M523" i="16"/>
  <c r="L523" i="16"/>
  <c r="M545" i="16"/>
  <c r="L545" i="16"/>
  <c r="M569" i="16"/>
  <c r="L569" i="16"/>
  <c r="M590" i="16"/>
  <c r="L590" i="16"/>
  <c r="M614" i="16"/>
  <c r="L614" i="16"/>
  <c r="M633" i="16"/>
  <c r="L633" i="16"/>
  <c r="O441" i="16" l="1"/>
  <c r="I441" i="16"/>
  <c r="M441" i="16"/>
  <c r="L441" i="16"/>
  <c r="M81" i="16" l="1"/>
  <c r="F81" i="16"/>
  <c r="F403" i="16" l="1"/>
  <c r="J402" i="16"/>
  <c r="K402" i="16" s="1"/>
  <c r="F402" i="16"/>
  <c r="F401" i="16"/>
  <c r="F400" i="16"/>
  <c r="J399" i="16"/>
  <c r="K399" i="16" s="1"/>
  <c r="F399" i="16"/>
  <c r="J396" i="16"/>
  <c r="J395" i="16"/>
  <c r="K395" i="16" s="1"/>
  <c r="F395" i="16"/>
  <c r="F394" i="16"/>
  <c r="J393" i="16"/>
  <c r="K393" i="16" s="1"/>
  <c r="F393" i="16"/>
  <c r="J392" i="16"/>
  <c r="K392" i="16" s="1"/>
  <c r="F392" i="16"/>
  <c r="J391" i="16"/>
  <c r="K391" i="16" s="1"/>
  <c r="F391" i="16"/>
  <c r="F390" i="16"/>
  <c r="F389" i="16"/>
  <c r="J388" i="16"/>
  <c r="K388" i="16" s="1"/>
  <c r="F388" i="16"/>
  <c r="F387" i="16"/>
  <c r="F386" i="16"/>
  <c r="J385" i="16"/>
  <c r="K385" i="16" s="1"/>
  <c r="F385" i="16"/>
  <c r="J384" i="16"/>
  <c r="K384" i="16" s="1"/>
  <c r="F384" i="16"/>
  <c r="J383" i="16"/>
  <c r="K383" i="16" s="1"/>
  <c r="F383" i="16"/>
  <c r="F382" i="16"/>
  <c r="J381" i="16"/>
  <c r="K381" i="16" s="1"/>
  <c r="F381" i="16"/>
  <c r="F380" i="16"/>
  <c r="J379" i="16"/>
  <c r="K379" i="16" s="1"/>
  <c r="F379" i="16"/>
  <c r="J378" i="16"/>
  <c r="F378" i="16"/>
  <c r="L377" i="16"/>
  <c r="J377" i="16"/>
  <c r="O377" i="16"/>
  <c r="J376" i="16"/>
  <c r="J375" i="16"/>
  <c r="K375" i="16" s="1"/>
  <c r="F375" i="16"/>
  <c r="J374" i="16"/>
  <c r="K374" i="16" s="1"/>
  <c r="F374" i="16"/>
  <c r="J373" i="16"/>
  <c r="K373" i="16" s="1"/>
  <c r="F373" i="16"/>
  <c r="J372" i="16"/>
  <c r="K372" i="16" s="1"/>
  <c r="F372" i="16"/>
  <c r="J371" i="16"/>
  <c r="F371" i="16"/>
  <c r="L370" i="16"/>
  <c r="J370" i="16"/>
  <c r="O370" i="16"/>
  <c r="J369" i="16"/>
  <c r="F368" i="16"/>
  <c r="J367" i="16"/>
  <c r="K367" i="16" s="1"/>
  <c r="F367" i="16"/>
  <c r="J366" i="16"/>
  <c r="K366" i="16" s="1"/>
  <c r="N366" i="16" s="1"/>
  <c r="F366" i="16"/>
  <c r="F365" i="16"/>
  <c r="F364" i="16"/>
  <c r="J363" i="16"/>
  <c r="K363" i="16" s="1"/>
  <c r="N363" i="16" s="1"/>
  <c r="F363" i="16"/>
  <c r="J362" i="16"/>
  <c r="K362" i="16" s="1"/>
  <c r="N362" i="16" s="1"/>
  <c r="F362" i="16"/>
  <c r="F361" i="16"/>
  <c r="F360" i="16"/>
  <c r="F359" i="16"/>
  <c r="F358" i="16"/>
  <c r="F357" i="16"/>
  <c r="F356" i="16"/>
  <c r="J355" i="16"/>
  <c r="K355" i="16" s="1"/>
  <c r="N355" i="16" s="1"/>
  <c r="F355" i="16"/>
  <c r="J354" i="16"/>
  <c r="K354" i="16" s="1"/>
  <c r="N354" i="16" s="1"/>
  <c r="F354" i="16"/>
  <c r="F353" i="16"/>
  <c r="F352" i="16"/>
  <c r="J351" i="16"/>
  <c r="K351" i="16" s="1"/>
  <c r="N351" i="16" s="1"/>
  <c r="F351" i="16"/>
  <c r="J350" i="16"/>
  <c r="K350" i="16" s="1"/>
  <c r="N350" i="16" s="1"/>
  <c r="F350" i="16"/>
  <c r="F349" i="16"/>
  <c r="F348" i="16"/>
  <c r="F347" i="16"/>
  <c r="J346" i="16"/>
  <c r="K346" i="16" s="1"/>
  <c r="F346" i="16"/>
  <c r="J345" i="16"/>
  <c r="K345" i="16" s="1"/>
  <c r="N345" i="16" s="1"/>
  <c r="F345" i="16"/>
  <c r="J344" i="16"/>
  <c r="K344" i="16" s="1"/>
  <c r="F344" i="16"/>
  <c r="F343" i="16"/>
  <c r="J342" i="16"/>
  <c r="K342" i="16" s="1"/>
  <c r="N342" i="16" s="1"/>
  <c r="F342" i="16"/>
  <c r="J341" i="16"/>
  <c r="K341" i="16" s="1"/>
  <c r="N341" i="16" s="1"/>
  <c r="F341" i="16"/>
  <c r="K340" i="16"/>
  <c r="F340" i="16"/>
  <c r="F339" i="16"/>
  <c r="J338" i="16"/>
  <c r="K338" i="16" s="1"/>
  <c r="F338" i="16"/>
  <c r="J337" i="16"/>
  <c r="K337" i="16" s="1"/>
  <c r="N337" i="16" s="1"/>
  <c r="F337" i="16"/>
  <c r="F336" i="16"/>
  <c r="F335" i="16"/>
  <c r="J334" i="16"/>
  <c r="K334" i="16" s="1"/>
  <c r="F334" i="16"/>
  <c r="J333" i="16"/>
  <c r="K333" i="16" s="1"/>
  <c r="F333" i="16"/>
  <c r="F332" i="16"/>
  <c r="J331" i="16"/>
  <c r="K331" i="16" s="1"/>
  <c r="F331" i="16"/>
  <c r="F330" i="16"/>
  <c r="J329" i="16"/>
  <c r="K329" i="16" s="1"/>
  <c r="F329" i="16"/>
  <c r="F328" i="16"/>
  <c r="J327" i="16"/>
  <c r="K327" i="16" s="1"/>
  <c r="F327" i="16"/>
  <c r="J326" i="16"/>
  <c r="K326" i="16" s="1"/>
  <c r="F326" i="16"/>
  <c r="J325" i="16"/>
  <c r="K325" i="16" s="1"/>
  <c r="F325" i="16"/>
  <c r="F324" i="16"/>
  <c r="J323" i="16"/>
  <c r="K323" i="16" s="1"/>
  <c r="F323" i="16"/>
  <c r="J322" i="16"/>
  <c r="K322" i="16" s="1"/>
  <c r="F322" i="16"/>
  <c r="J321" i="16"/>
  <c r="K321" i="16" s="1"/>
  <c r="F321" i="16"/>
  <c r="F320" i="16"/>
  <c r="J319" i="16"/>
  <c r="K319" i="16" s="1"/>
  <c r="F319" i="16"/>
  <c r="J318" i="16"/>
  <c r="K318" i="16" s="1"/>
  <c r="F318" i="16"/>
  <c r="J317" i="16"/>
  <c r="K317" i="16" s="1"/>
  <c r="F317" i="16"/>
  <c r="F316" i="16"/>
  <c r="J315" i="16"/>
  <c r="K315" i="16" s="1"/>
  <c r="F315" i="16"/>
  <c r="J314" i="16"/>
  <c r="K314" i="16" s="1"/>
  <c r="F314" i="16"/>
  <c r="F313" i="16"/>
  <c r="F312" i="16"/>
  <c r="J311" i="16"/>
  <c r="K311" i="16" s="1"/>
  <c r="F311" i="16"/>
  <c r="F310" i="16"/>
  <c r="F309" i="16"/>
  <c r="J308" i="16"/>
  <c r="F308" i="16"/>
  <c r="L307" i="16"/>
  <c r="J307" i="16"/>
  <c r="O307" i="16"/>
  <c r="J306" i="16"/>
  <c r="J305" i="16"/>
  <c r="K305" i="16" s="1"/>
  <c r="F305" i="16"/>
  <c r="F304" i="16"/>
  <c r="F303" i="16"/>
  <c r="J302" i="16"/>
  <c r="K302" i="16" s="1"/>
  <c r="F302" i="16"/>
  <c r="J301" i="16"/>
  <c r="K301" i="16" s="1"/>
  <c r="F301" i="16"/>
  <c r="F300" i="16"/>
  <c r="J299" i="16"/>
  <c r="F299" i="16"/>
  <c r="L298" i="16"/>
  <c r="J298" i="16"/>
  <c r="O298" i="16"/>
  <c r="J297" i="16"/>
  <c r="F296" i="16"/>
  <c r="J295" i="16"/>
  <c r="K295" i="16" s="1"/>
  <c r="F295" i="16"/>
  <c r="F294" i="16"/>
  <c r="F293" i="16"/>
  <c r="J292" i="16"/>
  <c r="K292" i="16" s="1"/>
  <c r="F292" i="16"/>
  <c r="F291" i="16"/>
  <c r="J290" i="16"/>
  <c r="K290" i="16" s="1"/>
  <c r="F290" i="16"/>
  <c r="F289" i="16"/>
  <c r="J288" i="16"/>
  <c r="F288" i="16"/>
  <c r="L287" i="16"/>
  <c r="J287" i="16"/>
  <c r="O287" i="16"/>
  <c r="J286" i="16"/>
  <c r="F285" i="16"/>
  <c r="F284" i="16"/>
  <c r="J283" i="16"/>
  <c r="K283" i="16" s="1"/>
  <c r="F283" i="16"/>
  <c r="F282" i="16"/>
  <c r="F281" i="16"/>
  <c r="F280" i="16"/>
  <c r="J279" i="16"/>
  <c r="K279" i="16" s="1"/>
  <c r="F279" i="16"/>
  <c r="J278" i="16"/>
  <c r="K278" i="16" s="1"/>
  <c r="F278" i="16"/>
  <c r="F277" i="16"/>
  <c r="F276" i="16"/>
  <c r="J275" i="16"/>
  <c r="K275" i="16" s="1"/>
  <c r="F275" i="16"/>
  <c r="J274" i="16"/>
  <c r="K274" i="16" s="1"/>
  <c r="F274" i="16"/>
  <c r="F273" i="16"/>
  <c r="F272" i="16"/>
  <c r="J271" i="16"/>
  <c r="K271" i="16" s="1"/>
  <c r="F271" i="16"/>
  <c r="F270" i="16"/>
  <c r="F269" i="16"/>
  <c r="F268" i="16"/>
  <c r="J267" i="16"/>
  <c r="K267" i="16" s="1"/>
  <c r="F267" i="16"/>
  <c r="J266" i="16"/>
  <c r="K266" i="16" s="1"/>
  <c r="F266" i="16"/>
  <c r="F265" i="16"/>
  <c r="F264" i="16"/>
  <c r="J263" i="16"/>
  <c r="K263" i="16" s="1"/>
  <c r="F263" i="16"/>
  <c r="J262" i="16"/>
  <c r="K262" i="16" s="1"/>
  <c r="F262" i="16"/>
  <c r="J261" i="16"/>
  <c r="F261" i="16"/>
  <c r="L260" i="16"/>
  <c r="J260" i="16"/>
  <c r="O260" i="16"/>
  <c r="J259" i="16"/>
  <c r="J258" i="16"/>
  <c r="K258" i="16" s="1"/>
  <c r="F258" i="16"/>
  <c r="F257" i="16"/>
  <c r="J256" i="16"/>
  <c r="K256" i="16" s="1"/>
  <c r="F256" i="16"/>
  <c r="F255" i="16"/>
  <c r="J254" i="16"/>
  <c r="K254" i="16" s="1"/>
  <c r="F254" i="16"/>
  <c r="F253" i="16"/>
  <c r="F252" i="16"/>
  <c r="J251" i="16"/>
  <c r="K251" i="16" s="1"/>
  <c r="F251" i="16"/>
  <c r="F250" i="16"/>
  <c r="J249" i="16"/>
  <c r="K249" i="16" s="1"/>
  <c r="F249" i="16"/>
  <c r="J248" i="16"/>
  <c r="K248" i="16" s="1"/>
  <c r="F248" i="16"/>
  <c r="J247" i="16"/>
  <c r="F247" i="16"/>
  <c r="L246" i="16"/>
  <c r="J246" i="16"/>
  <c r="O246" i="16"/>
  <c r="J245" i="16"/>
  <c r="F244" i="16"/>
  <c r="J243" i="16"/>
  <c r="K243" i="16" s="1"/>
  <c r="F243" i="16"/>
  <c r="J242" i="16"/>
  <c r="K242" i="16" s="1"/>
  <c r="F242" i="16"/>
  <c r="J241" i="16"/>
  <c r="K241" i="16" s="1"/>
  <c r="F241" i="16"/>
  <c r="J240" i="16"/>
  <c r="K240" i="16" s="1"/>
  <c r="F240" i="16"/>
  <c r="F239" i="16"/>
  <c r="F238" i="16"/>
  <c r="F237" i="16"/>
  <c r="F236" i="16"/>
  <c r="J235" i="16"/>
  <c r="K235" i="16" s="1"/>
  <c r="F235" i="16"/>
  <c r="J234" i="16"/>
  <c r="K234" i="16" s="1"/>
  <c r="F234" i="16"/>
  <c r="F233" i="16"/>
  <c r="J232" i="16"/>
  <c r="K232" i="16" s="1"/>
  <c r="F232" i="16"/>
  <c r="J231" i="16"/>
  <c r="K231" i="16" s="1"/>
  <c r="F231" i="16"/>
  <c r="F230" i="16"/>
  <c r="F229" i="16"/>
  <c r="J228" i="16"/>
  <c r="K228" i="16" s="1"/>
  <c r="F228" i="16"/>
  <c r="J227" i="16"/>
  <c r="K227" i="16" s="1"/>
  <c r="F227" i="16"/>
  <c r="J226" i="16"/>
  <c r="F226" i="16"/>
  <c r="L225" i="16"/>
  <c r="J225" i="16"/>
  <c r="O225" i="16"/>
  <c r="J224" i="16"/>
  <c r="F223" i="16"/>
  <c r="J222" i="16"/>
  <c r="K222" i="16" s="1"/>
  <c r="F222" i="16"/>
  <c r="F221" i="16"/>
  <c r="F220" i="16"/>
  <c r="F219" i="16"/>
  <c r="F218" i="16"/>
  <c r="J217" i="16"/>
  <c r="K217" i="16" s="1"/>
  <c r="F217" i="16"/>
  <c r="J216" i="16"/>
  <c r="K216" i="16" s="1"/>
  <c r="F216" i="16"/>
  <c r="J215" i="16"/>
  <c r="K215" i="16" s="1"/>
  <c r="F215" i="16"/>
  <c r="F214" i="16"/>
  <c r="F213" i="16"/>
  <c r="F212" i="16"/>
  <c r="F211" i="16"/>
  <c r="F210" i="16"/>
  <c r="J209" i="16"/>
  <c r="K209" i="16" s="1"/>
  <c r="F209" i="16"/>
  <c r="J208" i="16"/>
  <c r="K208" i="16" s="1"/>
  <c r="F208" i="16"/>
  <c r="F207" i="16"/>
  <c r="F206" i="16"/>
  <c r="J205" i="16"/>
  <c r="K205" i="16" s="1"/>
  <c r="F205" i="16"/>
  <c r="F204" i="16"/>
  <c r="F203" i="16"/>
  <c r="J202" i="16"/>
  <c r="K202" i="16" s="1"/>
  <c r="F202" i="16"/>
  <c r="J201" i="16"/>
  <c r="K201" i="16" s="1"/>
  <c r="F201" i="16"/>
  <c r="F200" i="16"/>
  <c r="F199" i="16"/>
  <c r="J198" i="16"/>
  <c r="K198" i="16" s="1"/>
  <c r="F198" i="16"/>
  <c r="J197" i="16"/>
  <c r="K197" i="16" s="1"/>
  <c r="F197" i="16"/>
  <c r="J196" i="16"/>
  <c r="K196" i="16" s="1"/>
  <c r="F196" i="16"/>
  <c r="J195" i="16"/>
  <c r="K195" i="16" s="1"/>
  <c r="F195" i="16"/>
  <c r="F194" i="16"/>
  <c r="J193" i="16"/>
  <c r="F193" i="16"/>
  <c r="L192" i="16"/>
  <c r="J192" i="16"/>
  <c r="O192" i="16"/>
  <c r="J191" i="16"/>
  <c r="J190" i="16"/>
  <c r="K190" i="16" s="1"/>
  <c r="F190" i="16"/>
  <c r="J189" i="16"/>
  <c r="K189" i="16" s="1"/>
  <c r="F189" i="16"/>
  <c r="F188" i="16"/>
  <c r="F187" i="16"/>
  <c r="F186" i="16"/>
  <c r="F185" i="16"/>
  <c r="J184" i="16"/>
  <c r="K184" i="16" s="1"/>
  <c r="F184" i="16"/>
  <c r="F183" i="16"/>
  <c r="F182" i="16"/>
  <c r="J181" i="16"/>
  <c r="F181" i="16"/>
  <c r="L180" i="16"/>
  <c r="J180" i="16"/>
  <c r="J179" i="16"/>
  <c r="J178" i="16"/>
  <c r="K178" i="16" s="1"/>
  <c r="F178" i="16"/>
  <c r="F177" i="16"/>
  <c r="J176" i="16"/>
  <c r="K176" i="16" s="1"/>
  <c r="F176" i="16"/>
  <c r="F175" i="16"/>
  <c r="F174" i="16"/>
  <c r="F173" i="16"/>
  <c r="F172" i="16"/>
  <c r="F171" i="16"/>
  <c r="J170" i="16"/>
  <c r="K170" i="16" s="1"/>
  <c r="F170" i="16"/>
  <c r="J169" i="16"/>
  <c r="F169" i="16"/>
  <c r="L168" i="16"/>
  <c r="J168" i="16"/>
  <c r="O168" i="16"/>
  <c r="J167" i="16"/>
  <c r="F166" i="16"/>
  <c r="F165" i="16"/>
  <c r="F164" i="16"/>
  <c r="F163" i="16"/>
  <c r="J162" i="16"/>
  <c r="K162" i="16" s="1"/>
  <c r="F162" i="16"/>
  <c r="J161" i="16"/>
  <c r="K161" i="16" s="1"/>
  <c r="F161" i="16"/>
  <c r="F160" i="16"/>
  <c r="J159" i="16"/>
  <c r="F159" i="16"/>
  <c r="J158" i="16"/>
  <c r="F157" i="16"/>
  <c r="F156" i="16"/>
  <c r="O155" i="16"/>
  <c r="L154" i="16"/>
  <c r="J154" i="16"/>
  <c r="O154" i="16"/>
  <c r="J153" i="16"/>
  <c r="F152" i="16"/>
  <c r="J151" i="16"/>
  <c r="K151" i="16" s="1"/>
  <c r="F151" i="16"/>
  <c r="F150" i="16"/>
  <c r="F149" i="16"/>
  <c r="F148" i="16"/>
  <c r="F147" i="16"/>
  <c r="J146" i="16"/>
  <c r="F146" i="16"/>
  <c r="L145" i="16"/>
  <c r="J145" i="16"/>
  <c r="O145" i="16"/>
  <c r="J144" i="16"/>
  <c r="F143" i="16"/>
  <c r="J142" i="16"/>
  <c r="K142" i="16" s="1"/>
  <c r="F142" i="16"/>
  <c r="F141" i="16"/>
  <c r="J140" i="16"/>
  <c r="K140" i="16" s="1"/>
  <c r="F140" i="16"/>
  <c r="J139" i="16"/>
  <c r="F139" i="16"/>
  <c r="L138" i="16"/>
  <c r="J138" i="16"/>
  <c r="O138" i="16"/>
  <c r="J137" i="16"/>
  <c r="J136" i="16"/>
  <c r="K136" i="16" s="1"/>
  <c r="F136" i="16"/>
  <c r="F135" i="16"/>
  <c r="F134" i="16"/>
  <c r="J133" i="16"/>
  <c r="K133" i="16" s="1"/>
  <c r="F133" i="16"/>
  <c r="J132" i="16"/>
  <c r="K132" i="16" s="1"/>
  <c r="F132" i="16"/>
  <c r="F131" i="16"/>
  <c r="F130" i="16"/>
  <c r="F129" i="16"/>
  <c r="F128" i="16"/>
  <c r="O127" i="16"/>
  <c r="O126" i="16"/>
  <c r="J125" i="16"/>
  <c r="J124" i="16"/>
  <c r="K124" i="16" s="1"/>
  <c r="F124" i="16"/>
  <c r="J123" i="16"/>
  <c r="K123" i="16" s="1"/>
  <c r="F123" i="16"/>
  <c r="F122" i="16"/>
  <c r="O121" i="16"/>
  <c r="O120" i="16"/>
  <c r="J119" i="16"/>
  <c r="F118" i="16"/>
  <c r="J116" i="16"/>
  <c r="K116" i="16" s="1"/>
  <c r="F116" i="16"/>
  <c r="F114" i="16"/>
  <c r="J113" i="16"/>
  <c r="K113" i="16" s="1"/>
  <c r="F113" i="16"/>
  <c r="F111" i="16"/>
  <c r="F110" i="16"/>
  <c r="O108" i="16"/>
  <c r="O107" i="16"/>
  <c r="J106" i="16"/>
  <c r="J105" i="16"/>
  <c r="K105" i="16" s="1"/>
  <c r="F105" i="16"/>
  <c r="F104" i="16"/>
  <c r="F103" i="16"/>
  <c r="J102" i="16"/>
  <c r="K102" i="16" s="1"/>
  <c r="F102" i="16"/>
  <c r="F101" i="16"/>
  <c r="F100" i="16"/>
  <c r="J99" i="16"/>
  <c r="K99" i="16" s="1"/>
  <c r="F99" i="16"/>
  <c r="J98" i="16"/>
  <c r="K98" i="16" s="1"/>
  <c r="F98" i="16"/>
  <c r="F96" i="16"/>
  <c r="J95" i="16"/>
  <c r="K95" i="16" s="1"/>
  <c r="F95" i="16"/>
  <c r="F94" i="16"/>
  <c r="F93" i="16"/>
  <c r="F91" i="16"/>
  <c r="J90" i="16"/>
  <c r="K90" i="16" s="1"/>
  <c r="F90" i="16"/>
  <c r="F89" i="16"/>
  <c r="F88" i="16"/>
  <c r="F87" i="16"/>
  <c r="F86" i="16"/>
  <c r="F85" i="16"/>
  <c r="L84" i="16"/>
  <c r="I84" i="16"/>
  <c r="J84" i="16"/>
  <c r="L83" i="16"/>
  <c r="J83" i="16"/>
  <c r="J82" i="16"/>
  <c r="L81" i="16"/>
  <c r="O81" i="16"/>
  <c r="O80" i="16"/>
  <c r="F79" i="16"/>
  <c r="F78" i="16"/>
  <c r="F76" i="16"/>
  <c r="J75" i="16"/>
  <c r="F75" i="16"/>
  <c r="L74" i="16"/>
  <c r="I74" i="16"/>
  <c r="J74" i="16"/>
  <c r="O74" i="16"/>
  <c r="J73" i="16"/>
  <c r="J72" i="16"/>
  <c r="K72" i="16" s="1"/>
  <c r="F72" i="16"/>
  <c r="F71" i="16"/>
  <c r="F70" i="16"/>
  <c r="F69" i="16"/>
  <c r="F68" i="16"/>
  <c r="F67" i="16"/>
  <c r="F66" i="16"/>
  <c r="F65" i="16"/>
  <c r="J64" i="16"/>
  <c r="K64" i="16" s="1"/>
  <c r="F64" i="16"/>
  <c r="F63" i="16"/>
  <c r="F62" i="16"/>
  <c r="J60" i="16"/>
  <c r="K60" i="16" s="1"/>
  <c r="F60" i="16"/>
  <c r="J59" i="16"/>
  <c r="K59" i="16" s="1"/>
  <c r="F59" i="16"/>
  <c r="J58" i="16"/>
  <c r="K58" i="16" s="1"/>
  <c r="F58" i="16"/>
  <c r="F57" i="16"/>
  <c r="J56" i="16"/>
  <c r="K56" i="16" s="1"/>
  <c r="F56" i="16"/>
  <c r="J55" i="16"/>
  <c r="O55" i="16"/>
  <c r="J54" i="16"/>
  <c r="J53" i="16"/>
  <c r="K53" i="16" s="1"/>
  <c r="F53" i="16"/>
  <c r="F52" i="16"/>
  <c r="F51" i="16"/>
  <c r="J49" i="16"/>
  <c r="K49" i="16" s="1"/>
  <c r="F49" i="16"/>
  <c r="J47" i="16"/>
  <c r="K47" i="16" s="1"/>
  <c r="F47" i="16"/>
  <c r="J46" i="16"/>
  <c r="K46" i="16" s="1"/>
  <c r="F46" i="16"/>
  <c r="J45" i="16"/>
  <c r="K45" i="16" s="1"/>
  <c r="F45" i="16"/>
  <c r="J44" i="16"/>
  <c r="K44" i="16" s="1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J29" i="16"/>
  <c r="K29" i="16" s="1"/>
  <c r="F29" i="16"/>
  <c r="J28" i="16"/>
  <c r="K28" i="16" s="1"/>
  <c r="F28" i="16"/>
  <c r="J27" i="16"/>
  <c r="K27" i="16" s="1"/>
  <c r="F27" i="16"/>
  <c r="J26" i="16"/>
  <c r="K26" i="16" s="1"/>
  <c r="F26" i="16"/>
  <c r="J25" i="16"/>
  <c r="K25" i="16" s="1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J12" i="16"/>
  <c r="K12" i="16" s="1"/>
  <c r="F12" i="16"/>
  <c r="F11" i="16"/>
  <c r="F10" i="16"/>
  <c r="L9" i="16"/>
  <c r="I9" i="16"/>
  <c r="G9" i="16"/>
  <c r="J9" i="16" s="1"/>
  <c r="K9" i="16" s="1"/>
  <c r="R7" i="16"/>
  <c r="T7" i="16" s="1"/>
  <c r="J19" i="16" l="1"/>
  <c r="K19" i="16" s="1"/>
  <c r="J42" i="16"/>
  <c r="K42" i="16" s="1"/>
  <c r="O117" i="16"/>
  <c r="O48" i="16"/>
  <c r="O317" i="16"/>
  <c r="O344" i="16"/>
  <c r="O366" i="16"/>
  <c r="O123" i="16"/>
  <c r="O132" i="16"/>
  <c r="O242" i="16"/>
  <c r="O321" i="16"/>
  <c r="O50" i="16"/>
  <c r="O85" i="16"/>
  <c r="O99" i="16"/>
  <c r="O61" i="16"/>
  <c r="O139" i="16"/>
  <c r="O159" i="16"/>
  <c r="O180" i="16"/>
  <c r="O261" i="16"/>
  <c r="O288" i="16"/>
  <c r="O193" i="16"/>
  <c r="O402" i="16"/>
  <c r="O181" i="16"/>
  <c r="O75" i="16"/>
  <c r="O226" i="16"/>
  <c r="O56" i="16"/>
  <c r="O378" i="16"/>
  <c r="O83" i="16"/>
  <c r="O146" i="16"/>
  <c r="O169" i="16"/>
  <c r="O247" i="16"/>
  <c r="O363" i="16"/>
  <c r="O323" i="16"/>
  <c r="O235" i="16"/>
  <c r="O240" i="16"/>
  <c r="O274" i="16"/>
  <c r="O102" i="16"/>
  <c r="O278" i="16"/>
  <c r="O292" i="16"/>
  <c r="O371" i="16"/>
  <c r="O391" i="16"/>
  <c r="O208" i="16"/>
  <c r="O256" i="16"/>
  <c r="O319" i="16"/>
  <c r="O346" i="16"/>
  <c r="O375" i="16"/>
  <c r="O330" i="16"/>
  <c r="O172" i="16"/>
  <c r="O197" i="16"/>
  <c r="O205" i="16"/>
  <c r="O215" i="16"/>
  <c r="O234" i="16"/>
  <c r="O202" i="16"/>
  <c r="O231" i="16"/>
  <c r="O249" i="16"/>
  <c r="O379" i="16"/>
  <c r="O388" i="16"/>
  <c r="O162" i="16"/>
  <c r="O271" i="16"/>
  <c r="O325" i="16"/>
  <c r="O334" i="16"/>
  <c r="O337" i="16"/>
  <c r="O354" i="16"/>
  <c r="O217" i="16"/>
  <c r="O262" i="16"/>
  <c r="O299" i="16"/>
  <c r="O381" i="16"/>
  <c r="O399" i="16"/>
  <c r="O327" i="16"/>
  <c r="O383" i="16"/>
  <c r="O392" i="16"/>
  <c r="O308" i="16"/>
  <c r="O133" i="16"/>
  <c r="O209" i="16"/>
  <c r="O311" i="16"/>
  <c r="O329" i="16"/>
  <c r="O340" i="16"/>
  <c r="O385" i="16"/>
  <c r="O201" i="16"/>
  <c r="O243" i="16"/>
  <c r="O331" i="16"/>
  <c r="O151" i="16"/>
  <c r="O184" i="16"/>
  <c r="O283" i="16"/>
  <c r="O315" i="16"/>
  <c r="O342" i="16"/>
  <c r="O351" i="16"/>
  <c r="O227" i="16"/>
  <c r="O384" i="16"/>
  <c r="O393" i="16"/>
  <c r="O395" i="16"/>
  <c r="O374" i="16"/>
  <c r="O372" i="16"/>
  <c r="O373" i="16"/>
  <c r="O333" i="16"/>
  <c r="O318" i="16"/>
  <c r="O326" i="16"/>
  <c r="O345" i="16"/>
  <c r="O355" i="16"/>
  <c r="O367" i="16"/>
  <c r="O314" i="16"/>
  <c r="O322" i="16"/>
  <c r="O341" i="16"/>
  <c r="O350" i="16"/>
  <c r="O362" i="16"/>
  <c r="O302" i="16"/>
  <c r="O301" i="16"/>
  <c r="O290" i="16"/>
  <c r="O295" i="16"/>
  <c r="O275" i="16"/>
  <c r="O263" i="16"/>
  <c r="O279" i="16"/>
  <c r="O266" i="16"/>
  <c r="O267" i="16"/>
  <c r="O251" i="16"/>
  <c r="O248" i="16"/>
  <c r="O258" i="16"/>
  <c r="O254" i="16"/>
  <c r="O228" i="16"/>
  <c r="O232" i="16"/>
  <c r="O241" i="16"/>
  <c r="O216" i="16"/>
  <c r="O222" i="16"/>
  <c r="O198" i="16"/>
  <c r="O195" i="16"/>
  <c r="O196" i="16"/>
  <c r="O189" i="16"/>
  <c r="O190" i="16"/>
  <c r="O170" i="16"/>
  <c r="O176" i="16"/>
  <c r="O178" i="16"/>
  <c r="O161" i="16"/>
  <c r="O142" i="16"/>
  <c r="O136" i="16"/>
  <c r="O116" i="16"/>
  <c r="O113" i="16"/>
  <c r="O105" i="16"/>
  <c r="O98" i="16"/>
  <c r="O95" i="16"/>
  <c r="O90" i="16"/>
  <c r="O64" i="16"/>
  <c r="O72" i="16"/>
  <c r="O338" i="16"/>
  <c r="O305" i="16"/>
  <c r="O58" i="16"/>
  <c r="O60" i="16"/>
  <c r="O59" i="16"/>
  <c r="O45" i="16"/>
  <c r="O25" i="16"/>
  <c r="O26" i="16"/>
  <c r="O49" i="16"/>
  <c r="O12" i="16"/>
  <c r="O27" i="16"/>
  <c r="O29" i="16"/>
  <c r="O46" i="16"/>
  <c r="O28" i="16"/>
  <c r="O53" i="16"/>
  <c r="O47" i="16"/>
  <c r="O44" i="16"/>
  <c r="J35" i="16"/>
  <c r="K35" i="16" s="1"/>
  <c r="J13" i="16"/>
  <c r="K13" i="16" s="1"/>
  <c r="J17" i="16"/>
  <c r="K17" i="16" s="1"/>
  <c r="K16" i="16"/>
  <c r="O140" i="16"/>
  <c r="J51" i="16"/>
  <c r="K51" i="16" s="1"/>
  <c r="P50" i="16"/>
  <c r="P48" i="16"/>
  <c r="J18" i="16"/>
  <c r="K18" i="16" s="1"/>
  <c r="J293" i="16"/>
  <c r="K293" i="16" s="1"/>
  <c r="L334" i="16"/>
  <c r="I193" i="16"/>
  <c r="L56" i="16"/>
  <c r="L308" i="16"/>
  <c r="P52" i="16"/>
  <c r="I159" i="16"/>
  <c r="J22" i="16"/>
  <c r="K22" i="16" s="1"/>
  <c r="I339" i="16"/>
  <c r="I149" i="16"/>
  <c r="J118" i="16"/>
  <c r="K118" i="16" s="1"/>
  <c r="L118" i="16" s="1"/>
  <c r="L402" i="16"/>
  <c r="J233" i="16"/>
  <c r="K233" i="16" s="1"/>
  <c r="L233" i="16" s="1"/>
  <c r="J91" i="16"/>
  <c r="K91" i="16" s="1"/>
  <c r="O91" i="16" s="1"/>
  <c r="J134" i="16"/>
  <c r="K134" i="16" s="1"/>
  <c r="L134" i="16" s="1"/>
  <c r="I189" i="16"/>
  <c r="L317" i="16"/>
  <c r="L322" i="16"/>
  <c r="L190" i="16"/>
  <c r="I332" i="16"/>
  <c r="I151" i="16"/>
  <c r="J185" i="16"/>
  <c r="K185" i="16" s="1"/>
  <c r="L185" i="16" s="1"/>
  <c r="I249" i="16"/>
  <c r="I328" i="16"/>
  <c r="L176" i="16"/>
  <c r="J200" i="16"/>
  <c r="K200" i="16" s="1"/>
  <c r="O200" i="16" s="1"/>
  <c r="I156" i="16"/>
  <c r="L261" i="16"/>
  <c r="J149" i="16"/>
  <c r="K149" i="16" s="1"/>
  <c r="L149" i="16" s="1"/>
  <c r="J359" i="16"/>
  <c r="K359" i="16" s="1"/>
  <c r="L366" i="16"/>
  <c r="I345" i="16"/>
  <c r="L278" i="16"/>
  <c r="L329" i="16"/>
  <c r="I372" i="16"/>
  <c r="I374" i="16"/>
  <c r="I278" i="16"/>
  <c r="I89" i="16"/>
  <c r="J211" i="16"/>
  <c r="K211" i="16" s="1"/>
  <c r="L211" i="16" s="1"/>
  <c r="I275" i="16"/>
  <c r="I352" i="16"/>
  <c r="L161" i="16"/>
  <c r="L242" i="16"/>
  <c r="I359" i="16"/>
  <c r="L378" i="16"/>
  <c r="I399" i="16"/>
  <c r="I174" i="16"/>
  <c r="I239" i="16"/>
  <c r="J348" i="16"/>
  <c r="K348" i="16" s="1"/>
  <c r="I355" i="16"/>
  <c r="J67" i="16"/>
  <c r="K67" i="16" s="1"/>
  <c r="L67" i="16" s="1"/>
  <c r="L75" i="16"/>
  <c r="I299" i="16"/>
  <c r="I148" i="16"/>
  <c r="L325" i="16"/>
  <c r="K96" i="16"/>
  <c r="L96" i="16" s="1"/>
  <c r="I312" i="16"/>
  <c r="I319" i="16"/>
  <c r="L383" i="16"/>
  <c r="I123" i="16"/>
  <c r="L105" i="16"/>
  <c r="I222" i="16"/>
  <c r="J320" i="16"/>
  <c r="K320" i="16" s="1"/>
  <c r="L320" i="16" s="1"/>
  <c r="I346" i="16"/>
  <c r="L321" i="16"/>
  <c r="J89" i="16"/>
  <c r="K89" i="16" s="1"/>
  <c r="L89" i="16" s="1"/>
  <c r="J160" i="16"/>
  <c r="K160" i="16" s="1"/>
  <c r="O160" i="16" s="1"/>
  <c r="I347" i="16"/>
  <c r="L354" i="16"/>
  <c r="L59" i="16"/>
  <c r="J166" i="16"/>
  <c r="K166" i="16" s="1"/>
  <c r="L166" i="16" s="1"/>
  <c r="L216" i="16"/>
  <c r="I233" i="16"/>
  <c r="L247" i="16"/>
  <c r="L90" i="16"/>
  <c r="I208" i="16"/>
  <c r="L362" i="16"/>
  <c r="I113" i="16"/>
  <c r="I116" i="16"/>
  <c r="I129" i="16"/>
  <c r="J157" i="16"/>
  <c r="K157" i="16" s="1"/>
  <c r="O157" i="16" s="1"/>
  <c r="J163" i="16"/>
  <c r="K163" i="16" s="1"/>
  <c r="O163" i="16" s="1"/>
  <c r="I295" i="16"/>
  <c r="I322" i="16"/>
  <c r="L381" i="16"/>
  <c r="I114" i="16"/>
  <c r="I232" i="16"/>
  <c r="I324" i="16"/>
  <c r="J332" i="16"/>
  <c r="K332" i="16" s="1"/>
  <c r="I360" i="16"/>
  <c r="L116" i="16"/>
  <c r="J147" i="16"/>
  <c r="K147" i="16" s="1"/>
  <c r="L147" i="16" s="1"/>
  <c r="J186" i="16"/>
  <c r="K186" i="16" s="1"/>
  <c r="L186" i="16" s="1"/>
  <c r="J324" i="16"/>
  <c r="K324" i="16" s="1"/>
  <c r="O324" i="16" s="1"/>
  <c r="I343" i="16"/>
  <c r="L350" i="16"/>
  <c r="I378" i="16"/>
  <c r="J394" i="16"/>
  <c r="K394" i="16" s="1"/>
  <c r="O394" i="16" s="1"/>
  <c r="L208" i="16"/>
  <c r="J152" i="16"/>
  <c r="K152" i="16" s="1"/>
  <c r="O152" i="16" s="1"/>
  <c r="J339" i="16"/>
  <c r="K339" i="16" s="1"/>
  <c r="O339" i="16" s="1"/>
  <c r="I375" i="16"/>
  <c r="L29" i="16"/>
  <c r="L123" i="16"/>
  <c r="J150" i="16"/>
  <c r="K150" i="16" s="1"/>
  <c r="L150" i="16" s="1"/>
  <c r="I254" i="16"/>
  <c r="J86" i="16"/>
  <c r="K86" i="16" s="1"/>
  <c r="L86" i="16" s="1"/>
  <c r="I105" i="16"/>
  <c r="I133" i="16"/>
  <c r="I219" i="16"/>
  <c r="J309" i="16"/>
  <c r="K309" i="16" s="1"/>
  <c r="L309" i="16" s="1"/>
  <c r="I326" i="16"/>
  <c r="F376" i="16"/>
  <c r="L12" i="16"/>
  <c r="I267" i="16"/>
  <c r="I393" i="16"/>
  <c r="L102" i="16"/>
  <c r="I165" i="16"/>
  <c r="J165" i="16"/>
  <c r="K165" i="16" s="1"/>
  <c r="L165" i="16" s="1"/>
  <c r="J206" i="16"/>
  <c r="K206" i="16" s="1"/>
  <c r="O206" i="16" s="1"/>
  <c r="I206" i="16"/>
  <c r="J70" i="16"/>
  <c r="K70" i="16" s="1"/>
  <c r="L70" i="16" s="1"/>
  <c r="I99" i="16"/>
  <c r="J122" i="16"/>
  <c r="K122" i="16" s="1"/>
  <c r="O122" i="16" s="1"/>
  <c r="F144" i="16"/>
  <c r="I190" i="16"/>
  <c r="I354" i="16"/>
  <c r="I214" i="16"/>
  <c r="J382" i="16"/>
  <c r="K382" i="16" s="1"/>
  <c r="L382" i="16" s="1"/>
  <c r="I169" i="16"/>
  <c r="I197" i="16"/>
  <c r="J219" i="16"/>
  <c r="K219" i="16" s="1"/>
  <c r="L219" i="16" s="1"/>
  <c r="I98" i="16"/>
  <c r="J129" i="16"/>
  <c r="K129" i="16" s="1"/>
  <c r="L129" i="16" s="1"/>
  <c r="L151" i="16"/>
  <c r="L197" i="16"/>
  <c r="I157" i="16"/>
  <c r="J236" i="16"/>
  <c r="K236" i="16" s="1"/>
  <c r="L236" i="16" s="1"/>
  <c r="I236" i="16"/>
  <c r="I318" i="16"/>
  <c r="I310" i="16"/>
  <c r="J310" i="16"/>
  <c r="K310" i="16" s="1"/>
  <c r="L310" i="16" s="1"/>
  <c r="I102" i="16"/>
  <c r="I161" i="16"/>
  <c r="I196" i="16"/>
  <c r="J204" i="16"/>
  <c r="K204" i="16" s="1"/>
  <c r="L204" i="16" s="1"/>
  <c r="I204" i="16"/>
  <c r="J270" i="16"/>
  <c r="K270" i="16" s="1"/>
  <c r="I270" i="16"/>
  <c r="J291" i="16"/>
  <c r="K291" i="16" s="1"/>
  <c r="L291" i="16" s="1"/>
  <c r="I291" i="16"/>
  <c r="L60" i="16"/>
  <c r="J63" i="16"/>
  <c r="K63" i="16" s="1"/>
  <c r="L63" i="16" s="1"/>
  <c r="J101" i="16"/>
  <c r="K101" i="16" s="1"/>
  <c r="L101" i="16" s="1"/>
  <c r="J114" i="16"/>
  <c r="K114" i="16" s="1"/>
  <c r="L114" i="16" s="1"/>
  <c r="J143" i="16"/>
  <c r="K143" i="16" s="1"/>
  <c r="L143" i="16" s="1"/>
  <c r="L162" i="16"/>
  <c r="I199" i="16"/>
  <c r="J199" i="16"/>
  <c r="K199" i="16" s="1"/>
  <c r="L199" i="16" s="1"/>
  <c r="L232" i="16"/>
  <c r="L340" i="16"/>
  <c r="I173" i="16"/>
  <c r="J173" i="16"/>
  <c r="K173" i="16" s="1"/>
  <c r="L173" i="16" s="1"/>
  <c r="J188" i="16"/>
  <c r="K188" i="16" s="1"/>
  <c r="L188" i="16" s="1"/>
  <c r="I188" i="16"/>
  <c r="J148" i="16"/>
  <c r="K148" i="16" s="1"/>
  <c r="L148" i="16" s="1"/>
  <c r="J203" i="16"/>
  <c r="K203" i="16" s="1"/>
  <c r="L203" i="16" s="1"/>
  <c r="I203" i="16"/>
  <c r="L25" i="16"/>
  <c r="H9" i="16"/>
  <c r="L44" i="16"/>
  <c r="I142" i="16"/>
  <c r="J174" i="16"/>
  <c r="K174" i="16" s="1"/>
  <c r="L174" i="16" s="1"/>
  <c r="I186" i="16"/>
  <c r="J214" i="16"/>
  <c r="K214" i="16" s="1"/>
  <c r="L214" i="16" s="1"/>
  <c r="J328" i="16"/>
  <c r="K328" i="16" s="1"/>
  <c r="L328" i="16" s="1"/>
  <c r="I56" i="16"/>
  <c r="L178" i="16"/>
  <c r="J210" i="16"/>
  <c r="K210" i="16" s="1"/>
  <c r="L210" i="16" s="1"/>
  <c r="L136" i="16"/>
  <c r="J37" i="16"/>
  <c r="K37" i="16" s="1"/>
  <c r="F137" i="16"/>
  <c r="J194" i="16"/>
  <c r="K194" i="16" s="1"/>
  <c r="L194" i="16" s="1"/>
  <c r="I243" i="16"/>
  <c r="J284" i="16"/>
  <c r="K284" i="16" s="1"/>
  <c r="L284" i="16" s="1"/>
  <c r="I284" i="16"/>
  <c r="L367" i="16"/>
  <c r="J401" i="16"/>
  <c r="K401" i="16" s="1"/>
  <c r="L401" i="16" s="1"/>
  <c r="L249" i="16"/>
  <c r="I274" i="16"/>
  <c r="I294" i="16"/>
  <c r="L299" i="16"/>
  <c r="J300" i="16"/>
  <c r="K300" i="16" s="1"/>
  <c r="L300" i="16" s="1"/>
  <c r="L345" i="16"/>
  <c r="I362" i="16"/>
  <c r="J386" i="16"/>
  <c r="K386" i="16" s="1"/>
  <c r="L386" i="16" s="1"/>
  <c r="J389" i="16"/>
  <c r="K389" i="16" s="1"/>
  <c r="O389" i="16" s="1"/>
  <c r="L140" i="16"/>
  <c r="L184" i="16"/>
  <c r="I237" i="16"/>
  <c r="L251" i="16"/>
  <c r="I304" i="16"/>
  <c r="L392" i="16"/>
  <c r="I140" i="16"/>
  <c r="I184" i="16"/>
  <c r="I211" i="16"/>
  <c r="L256" i="16"/>
  <c r="J304" i="16"/>
  <c r="K304" i="16" s="1"/>
  <c r="L304" i="16" s="1"/>
  <c r="I314" i="16"/>
  <c r="I348" i="16"/>
  <c r="I392" i="16"/>
  <c r="L195" i="16"/>
  <c r="L254" i="16"/>
  <c r="I327" i="16"/>
  <c r="L344" i="16"/>
  <c r="J352" i="16"/>
  <c r="K352" i="16" s="1"/>
  <c r="L234" i="16"/>
  <c r="L292" i="16"/>
  <c r="I316" i="16"/>
  <c r="I234" i="16"/>
  <c r="J282" i="16"/>
  <c r="K282" i="16" s="1"/>
  <c r="L282" i="16" s="1"/>
  <c r="I313" i="16"/>
  <c r="J316" i="16"/>
  <c r="K316" i="16" s="1"/>
  <c r="L316" i="16" s="1"/>
  <c r="I337" i="16"/>
  <c r="J347" i="16"/>
  <c r="K347" i="16" s="1"/>
  <c r="L347" i="16" s="1"/>
  <c r="I351" i="16"/>
  <c r="J356" i="16"/>
  <c r="K356" i="16" s="1"/>
  <c r="J368" i="16"/>
  <c r="K368" i="16" s="1"/>
  <c r="J380" i="16"/>
  <c r="K380" i="16" s="1"/>
  <c r="L380" i="16" s="1"/>
  <c r="L388" i="16"/>
  <c r="I400" i="16"/>
  <c r="I201" i="16"/>
  <c r="I247" i="16"/>
  <c r="J285" i="16"/>
  <c r="K285" i="16" s="1"/>
  <c r="L285" i="16" s="1"/>
  <c r="L290" i="16"/>
  <c r="J313" i="16"/>
  <c r="K313" i="16" s="1"/>
  <c r="L313" i="16" s="1"/>
  <c r="I323" i="16"/>
  <c r="L333" i="16"/>
  <c r="J360" i="16"/>
  <c r="K360" i="16" s="1"/>
  <c r="I395" i="16"/>
  <c r="J400" i="16"/>
  <c r="K400" i="16" s="1"/>
  <c r="L400" i="16" s="1"/>
  <c r="I198" i="16"/>
  <c r="I209" i="16"/>
  <c r="L235" i="16"/>
  <c r="I290" i="16"/>
  <c r="J343" i="16"/>
  <c r="K343" i="16" s="1"/>
  <c r="J364" i="16"/>
  <c r="K364" i="16" s="1"/>
  <c r="I384" i="16"/>
  <c r="I401" i="16"/>
  <c r="J312" i="16"/>
  <c r="K312" i="16" s="1"/>
  <c r="L312" i="16" s="1"/>
  <c r="I363" i="16"/>
  <c r="L373" i="16"/>
  <c r="J387" i="16"/>
  <c r="K387" i="16" s="1"/>
  <c r="L387" i="16" s="1"/>
  <c r="J289" i="16"/>
  <c r="K289" i="16" s="1"/>
  <c r="L289" i="16" s="1"/>
  <c r="I368" i="16"/>
  <c r="L337" i="16"/>
  <c r="I341" i="16"/>
  <c r="I338" i="16"/>
  <c r="J403" i="16"/>
  <c r="K403" i="16" s="1"/>
  <c r="L403" i="16" s="1"/>
  <c r="I242" i="16"/>
  <c r="I205" i="16"/>
  <c r="J171" i="16"/>
  <c r="K171" i="16" s="1"/>
  <c r="L171" i="16" s="1"/>
  <c r="I170" i="16"/>
  <c r="J111" i="16"/>
  <c r="K111" i="16" s="1"/>
  <c r="L111" i="16" s="1"/>
  <c r="J32" i="16"/>
  <c r="K32" i="16" s="1"/>
  <c r="J43" i="16"/>
  <c r="K43" i="16" s="1"/>
  <c r="J183" i="16"/>
  <c r="K183" i="16" s="1"/>
  <c r="L183" i="16" s="1"/>
  <c r="I305" i="16"/>
  <c r="J294" i="16"/>
  <c r="K294" i="16" s="1"/>
  <c r="J253" i="16"/>
  <c r="K253" i="16" s="1"/>
  <c r="L253" i="16" s="1"/>
  <c r="I256" i="16"/>
  <c r="J252" i="16"/>
  <c r="K252" i="16" s="1"/>
  <c r="L252" i="16" s="1"/>
  <c r="I252" i="16"/>
  <c r="I258" i="16"/>
  <c r="J223" i="16"/>
  <c r="K223" i="16" s="1"/>
  <c r="L223" i="16" s="1"/>
  <c r="L172" i="16"/>
  <c r="J156" i="16"/>
  <c r="K156" i="16" s="1"/>
  <c r="O156" i="16" s="1"/>
  <c r="I136" i="16"/>
  <c r="I132" i="16"/>
  <c r="L132" i="16"/>
  <c r="J94" i="16"/>
  <c r="K94" i="16" s="1"/>
  <c r="L94" i="16" s="1"/>
  <c r="J93" i="16"/>
  <c r="K93" i="16" s="1"/>
  <c r="L93" i="16" s="1"/>
  <c r="I95" i="16"/>
  <c r="J66" i="16"/>
  <c r="K66" i="16" s="1"/>
  <c r="L66" i="16" s="1"/>
  <c r="I72" i="16"/>
  <c r="I64" i="16"/>
  <c r="J57" i="16"/>
  <c r="K57" i="16" s="1"/>
  <c r="L57" i="16" s="1"/>
  <c r="L58" i="16"/>
  <c r="I58" i="16"/>
  <c r="I60" i="16"/>
  <c r="I53" i="16"/>
  <c r="I29" i="16"/>
  <c r="I44" i="16"/>
  <c r="J52" i="16"/>
  <c r="K52" i="16" s="1"/>
  <c r="L52" i="16" s="1"/>
  <c r="I27" i="16"/>
  <c r="I47" i="16"/>
  <c r="I46" i="16"/>
  <c r="L26" i="16"/>
  <c r="I185" i="16"/>
  <c r="L72" i="16"/>
  <c r="L49" i="16"/>
  <c r="J79" i="16"/>
  <c r="K79" i="16" s="1"/>
  <c r="L79" i="16" s="1"/>
  <c r="I79" i="16"/>
  <c r="J131" i="16"/>
  <c r="K131" i="16" s="1"/>
  <c r="L131" i="16" s="1"/>
  <c r="I131" i="16"/>
  <c r="I28" i="16"/>
  <c r="I75" i="16"/>
  <c r="I96" i="16"/>
  <c r="L27" i="16"/>
  <c r="I45" i="16"/>
  <c r="I66" i="16"/>
  <c r="J68" i="16"/>
  <c r="K68" i="16" s="1"/>
  <c r="L68" i="16" s="1"/>
  <c r="I68" i="16"/>
  <c r="I81" i="16"/>
  <c r="L98" i="16"/>
  <c r="L91" i="16"/>
  <c r="I100" i="16"/>
  <c r="J65" i="16"/>
  <c r="K65" i="16" s="1"/>
  <c r="L65" i="16" s="1"/>
  <c r="I65" i="16"/>
  <c r="L28" i="16"/>
  <c r="L45" i="16"/>
  <c r="L53" i="16"/>
  <c r="I69" i="16"/>
  <c r="J104" i="16"/>
  <c r="K104" i="16" s="1"/>
  <c r="L104" i="16" s="1"/>
  <c r="I104" i="16"/>
  <c r="F54" i="16"/>
  <c r="L46" i="16"/>
  <c r="J62" i="16"/>
  <c r="K62" i="16" s="1"/>
  <c r="L62" i="16" s="1"/>
  <c r="I62" i="16"/>
  <c r="I87" i="16"/>
  <c r="J87" i="16"/>
  <c r="K87" i="16" s="1"/>
  <c r="L87" i="16" s="1"/>
  <c r="L47" i="16"/>
  <c r="I85" i="16"/>
  <c r="I25" i="16"/>
  <c r="F73" i="16"/>
  <c r="I67" i="16"/>
  <c r="J69" i="16"/>
  <c r="K69" i="16" s="1"/>
  <c r="L69" i="16" s="1"/>
  <c r="I76" i="16"/>
  <c r="I59" i="16"/>
  <c r="I63" i="16"/>
  <c r="J76" i="16"/>
  <c r="K76" i="16" s="1"/>
  <c r="L76" i="16" s="1"/>
  <c r="I12" i="16"/>
  <c r="I70" i="16"/>
  <c r="I86" i="16"/>
  <c r="F106" i="16"/>
  <c r="I26" i="16"/>
  <c r="L64" i="16"/>
  <c r="J78" i="16"/>
  <c r="K78" i="16" s="1"/>
  <c r="L78" i="16" s="1"/>
  <c r="I78" i="16"/>
  <c r="I150" i="16"/>
  <c r="L198" i="16"/>
  <c r="I49" i="16"/>
  <c r="I57" i="16"/>
  <c r="J71" i="16"/>
  <c r="K71" i="16" s="1"/>
  <c r="L71" i="16" s="1"/>
  <c r="I71" i="16"/>
  <c r="L95" i="16"/>
  <c r="I52" i="16"/>
  <c r="L139" i="16"/>
  <c r="I139" i="16"/>
  <c r="L133" i="16"/>
  <c r="F179" i="16"/>
  <c r="L217" i="16"/>
  <c r="J130" i="16"/>
  <c r="K130" i="16" s="1"/>
  <c r="L130" i="16" s="1"/>
  <c r="I130" i="16"/>
  <c r="J100" i="16"/>
  <c r="K100" i="16" s="1"/>
  <c r="L100" i="16" s="1"/>
  <c r="J103" i="16"/>
  <c r="K103" i="16" s="1"/>
  <c r="L103" i="16" s="1"/>
  <c r="I103" i="16"/>
  <c r="F153" i="16"/>
  <c r="I152" i="16"/>
  <c r="J141" i="16"/>
  <c r="K141" i="16" s="1"/>
  <c r="L141" i="16" s="1"/>
  <c r="I141" i="16"/>
  <c r="L124" i="16"/>
  <c r="L142" i="16"/>
  <c r="L202" i="16"/>
  <c r="L99" i="16"/>
  <c r="F224" i="16"/>
  <c r="I194" i="16"/>
  <c r="I88" i="16"/>
  <c r="J88" i="16"/>
  <c r="K88" i="16" s="1"/>
  <c r="L88" i="16" s="1"/>
  <c r="L170" i="16"/>
  <c r="I226" i="16"/>
  <c r="L226" i="16"/>
  <c r="F82" i="16"/>
  <c r="J135" i="16"/>
  <c r="K135" i="16" s="1"/>
  <c r="L135" i="16" s="1"/>
  <c r="I135" i="16"/>
  <c r="J164" i="16"/>
  <c r="K164" i="16" s="1"/>
  <c r="L164" i="16" s="1"/>
  <c r="I164" i="16"/>
  <c r="I94" i="16"/>
  <c r="J110" i="16"/>
  <c r="K110" i="16" s="1"/>
  <c r="I221" i="16"/>
  <c r="J221" i="16"/>
  <c r="K221" i="16" s="1"/>
  <c r="L221" i="16" s="1"/>
  <c r="I93" i="16"/>
  <c r="I111" i="16"/>
  <c r="F119" i="16"/>
  <c r="I207" i="16"/>
  <c r="J207" i="16"/>
  <c r="K207" i="16" s="1"/>
  <c r="L207" i="16" s="1"/>
  <c r="I90" i="16"/>
  <c r="I146" i="16"/>
  <c r="L157" i="16"/>
  <c r="F286" i="16"/>
  <c r="L262" i="16"/>
  <c r="F158" i="16"/>
  <c r="I134" i="16"/>
  <c r="L146" i="16"/>
  <c r="L160" i="16"/>
  <c r="I160" i="16"/>
  <c r="J177" i="16"/>
  <c r="K177" i="16" s="1"/>
  <c r="L177" i="16" s="1"/>
  <c r="J182" i="16"/>
  <c r="K182" i="16" s="1"/>
  <c r="O182" i="16" s="1"/>
  <c r="I182" i="16"/>
  <c r="L196" i="16"/>
  <c r="I213" i="16"/>
  <c r="J213" i="16"/>
  <c r="K213" i="16" s="1"/>
  <c r="L213" i="16" s="1"/>
  <c r="J281" i="16"/>
  <c r="K281" i="16" s="1"/>
  <c r="L281" i="16" s="1"/>
  <c r="I101" i="16"/>
  <c r="I122" i="16"/>
  <c r="F125" i="16"/>
  <c r="I147" i="16"/>
  <c r="I177" i="16"/>
  <c r="L215" i="16"/>
  <c r="I282" i="16"/>
  <c r="I118" i="16"/>
  <c r="I171" i="16"/>
  <c r="L193" i="16"/>
  <c r="L113" i="16"/>
  <c r="J187" i="16"/>
  <c r="K187" i="16" s="1"/>
  <c r="L187" i="16" s="1"/>
  <c r="I187" i="16"/>
  <c r="I217" i="16"/>
  <c r="I91" i="16"/>
  <c r="I128" i="16"/>
  <c r="I143" i="16"/>
  <c r="L189" i="16"/>
  <c r="L159" i="16"/>
  <c r="L181" i="16"/>
  <c r="I181" i="16"/>
  <c r="L271" i="16"/>
  <c r="I163" i="16"/>
  <c r="F167" i="16"/>
  <c r="L266" i="16"/>
  <c r="L169" i="16"/>
  <c r="J220" i="16"/>
  <c r="K220" i="16" s="1"/>
  <c r="L220" i="16" s="1"/>
  <c r="I220" i="16"/>
  <c r="I176" i="16"/>
  <c r="J230" i="16"/>
  <c r="K230" i="16" s="1"/>
  <c r="L230" i="16" s="1"/>
  <c r="I230" i="16"/>
  <c r="J244" i="16"/>
  <c r="K244" i="16" s="1"/>
  <c r="L244" i="16" s="1"/>
  <c r="I244" i="16"/>
  <c r="J264" i="16"/>
  <c r="K264" i="16" s="1"/>
  <c r="L264" i="16" s="1"/>
  <c r="I264" i="16"/>
  <c r="J280" i="16"/>
  <c r="K280" i="16" s="1"/>
  <c r="L280" i="16" s="1"/>
  <c r="I280" i="16"/>
  <c r="L209" i="16"/>
  <c r="L222" i="16"/>
  <c r="I228" i="16"/>
  <c r="J250" i="16"/>
  <c r="K250" i="16" s="1"/>
  <c r="L250" i="16" s="1"/>
  <c r="I250" i="16"/>
  <c r="J296" i="16"/>
  <c r="K296" i="16" s="1"/>
  <c r="L296" i="16" s="1"/>
  <c r="I296" i="16"/>
  <c r="I240" i="16"/>
  <c r="I253" i="16"/>
  <c r="L258" i="16"/>
  <c r="L341" i="16"/>
  <c r="F191" i="16"/>
  <c r="I223" i="16"/>
  <c r="I235" i="16"/>
  <c r="J238" i="16"/>
  <c r="K238" i="16" s="1"/>
  <c r="L238" i="16" s="1"/>
  <c r="I238" i="16"/>
  <c r="J239" i="16"/>
  <c r="K239" i="16" s="1"/>
  <c r="O239" i="16" s="1"/>
  <c r="L243" i="16"/>
  <c r="I263" i="16"/>
  <c r="I271" i="16"/>
  <c r="I279" i="16"/>
  <c r="J303" i="16"/>
  <c r="K303" i="16" s="1"/>
  <c r="L303" i="16" s="1"/>
  <c r="I303" i="16"/>
  <c r="J212" i="16"/>
  <c r="K212" i="16" s="1"/>
  <c r="L212" i="16" s="1"/>
  <c r="L240" i="16"/>
  <c r="J268" i="16"/>
  <c r="K268" i="16" s="1"/>
  <c r="L268" i="16" s="1"/>
  <c r="I268" i="16"/>
  <c r="F306" i="16"/>
  <c r="I300" i="16"/>
  <c r="I162" i="16"/>
  <c r="I166" i="16"/>
  <c r="I172" i="16"/>
  <c r="I200" i="16"/>
  <c r="J237" i="16"/>
  <c r="K237" i="16" s="1"/>
  <c r="L237" i="16" s="1"/>
  <c r="L241" i="16"/>
  <c r="J229" i="16"/>
  <c r="K229" i="16" s="1"/>
  <c r="L229" i="16" s="1"/>
  <c r="I229" i="16"/>
  <c r="L205" i="16"/>
  <c r="L201" i="16"/>
  <c r="L206" i="16"/>
  <c r="I216" i="16"/>
  <c r="J218" i="16"/>
  <c r="K218" i="16" s="1"/>
  <c r="L218" i="16" s="1"/>
  <c r="I218" i="16"/>
  <c r="L263" i="16"/>
  <c r="L283" i="16"/>
  <c r="I301" i="16"/>
  <c r="J255" i="16"/>
  <c r="K255" i="16" s="1"/>
  <c r="L255" i="16" s="1"/>
  <c r="I255" i="16"/>
  <c r="J277" i="16"/>
  <c r="K277" i="16" s="1"/>
  <c r="L277" i="16" s="1"/>
  <c r="I277" i="16"/>
  <c r="I281" i="16"/>
  <c r="F259" i="16"/>
  <c r="L248" i="16"/>
  <c r="I315" i="16"/>
  <c r="L227" i="16"/>
  <c r="I309" i="16"/>
  <c r="I215" i="16"/>
  <c r="L228" i="16"/>
  <c r="I241" i="16"/>
  <c r="I261" i="16"/>
  <c r="J276" i="16"/>
  <c r="K276" i="16" s="1"/>
  <c r="L276" i="16" s="1"/>
  <c r="I276" i="16"/>
  <c r="L279" i="16"/>
  <c r="I292" i="16"/>
  <c r="L295" i="16"/>
  <c r="I311" i="16"/>
  <c r="J358" i="16"/>
  <c r="K358" i="16" s="1"/>
  <c r="I358" i="16"/>
  <c r="I389" i="16"/>
  <c r="J265" i="16"/>
  <c r="K265" i="16" s="1"/>
  <c r="L265" i="16" s="1"/>
  <c r="I265" i="16"/>
  <c r="J273" i="16"/>
  <c r="K273" i="16" s="1"/>
  <c r="I273" i="16"/>
  <c r="L323" i="16"/>
  <c r="I231" i="16"/>
  <c r="L267" i="16"/>
  <c r="L274" i="16"/>
  <c r="L288" i="16"/>
  <c r="I288" i="16"/>
  <c r="L326" i="16"/>
  <c r="J272" i="16"/>
  <c r="K272" i="16" s="1"/>
  <c r="I272" i="16"/>
  <c r="L275" i="16"/>
  <c r="L305" i="16"/>
  <c r="L342" i="16"/>
  <c r="I342" i="16"/>
  <c r="L231" i="16"/>
  <c r="F245" i="16"/>
  <c r="L318" i="16"/>
  <c r="J365" i="16"/>
  <c r="K365" i="16" s="1"/>
  <c r="I365" i="16"/>
  <c r="J269" i="16"/>
  <c r="K269" i="16" s="1"/>
  <c r="L269" i="16" s="1"/>
  <c r="I269" i="16"/>
  <c r="I283" i="16"/>
  <c r="L375" i="16"/>
  <c r="L311" i="16"/>
  <c r="I320" i="16"/>
  <c r="J357" i="16"/>
  <c r="K357" i="16" s="1"/>
  <c r="I357" i="16"/>
  <c r="K376" i="16"/>
  <c r="I302" i="16"/>
  <c r="L346" i="16"/>
  <c r="I251" i="16"/>
  <c r="L301" i="16"/>
  <c r="L314" i="16"/>
  <c r="J349" i="16"/>
  <c r="K349" i="16" s="1"/>
  <c r="I349" i="16"/>
  <c r="I350" i="16"/>
  <c r="I289" i="16"/>
  <c r="L315" i="16"/>
  <c r="L327" i="16"/>
  <c r="L339" i="16"/>
  <c r="L351" i="16"/>
  <c r="J390" i="16"/>
  <c r="K390" i="16" s="1"/>
  <c r="L390" i="16" s="1"/>
  <c r="I390" i="16"/>
  <c r="L395" i="16"/>
  <c r="L391" i="16"/>
  <c r="I403" i="16"/>
  <c r="F297" i="16"/>
  <c r="L302" i="16"/>
  <c r="I364" i="16"/>
  <c r="L371" i="16"/>
  <c r="I371" i="16"/>
  <c r="I308" i="16"/>
  <c r="I330" i="16"/>
  <c r="L338" i="16"/>
  <c r="J361" i="16"/>
  <c r="K361" i="16" s="1"/>
  <c r="I361" i="16"/>
  <c r="L363" i="16"/>
  <c r="I367" i="16"/>
  <c r="F396" i="16"/>
  <c r="I394" i="16"/>
  <c r="I285" i="16"/>
  <c r="L331" i="16"/>
  <c r="J336" i="16"/>
  <c r="K336" i="16" s="1"/>
  <c r="N336" i="16" s="1"/>
  <c r="I336" i="16"/>
  <c r="I356" i="16"/>
  <c r="F369" i="16"/>
  <c r="L319" i="16"/>
  <c r="J335" i="16"/>
  <c r="K335" i="16" s="1"/>
  <c r="L335" i="16" s="1"/>
  <c r="I335" i="16"/>
  <c r="J353" i="16"/>
  <c r="K353" i="16" s="1"/>
  <c r="I353" i="16"/>
  <c r="I334" i="16"/>
  <c r="L355" i="16"/>
  <c r="I366" i="16"/>
  <c r="L372" i="16"/>
  <c r="L393" i="16"/>
  <c r="L394" i="16"/>
  <c r="I317" i="16"/>
  <c r="I321" i="16"/>
  <c r="I325" i="16"/>
  <c r="I329" i="16"/>
  <c r="I333" i="16"/>
  <c r="I340" i="16"/>
  <c r="I344" i="16"/>
  <c r="I385" i="16"/>
  <c r="F404" i="16"/>
  <c r="L384" i="16"/>
  <c r="L379" i="16"/>
  <c r="I380" i="16"/>
  <c r="I391" i="16"/>
  <c r="I381" i="16"/>
  <c r="L385" i="16"/>
  <c r="I386" i="16"/>
  <c r="L374" i="16"/>
  <c r="I387" i="16"/>
  <c r="I388" i="16"/>
  <c r="L399" i="16"/>
  <c r="I383" i="16"/>
  <c r="L324" i="16" l="1"/>
  <c r="J31" i="16"/>
  <c r="K31" i="16" s="1"/>
  <c r="L389" i="16"/>
  <c r="L357" i="16"/>
  <c r="N357" i="16"/>
  <c r="L365" i="16"/>
  <c r="N365" i="16"/>
  <c r="L358" i="16"/>
  <c r="N358" i="16"/>
  <c r="L332" i="16"/>
  <c r="N332" i="16"/>
  <c r="O332" i="16" s="1"/>
  <c r="L359" i="16"/>
  <c r="N359" i="16"/>
  <c r="O359" i="16" s="1"/>
  <c r="L364" i="16"/>
  <c r="N364" i="16"/>
  <c r="O364" i="16" s="1"/>
  <c r="L368" i="16"/>
  <c r="O368" i="16"/>
  <c r="L352" i="16"/>
  <c r="N352" i="16"/>
  <c r="L353" i="16"/>
  <c r="N353" i="16"/>
  <c r="L361" i="16"/>
  <c r="N361" i="16"/>
  <c r="O361" i="16" s="1"/>
  <c r="L356" i="16"/>
  <c r="N356" i="16"/>
  <c r="L348" i="16"/>
  <c r="N348" i="16"/>
  <c r="O348" i="16" s="1"/>
  <c r="L349" i="16"/>
  <c r="N349" i="16"/>
  <c r="O349" i="16" s="1"/>
  <c r="L343" i="16"/>
  <c r="N343" i="16"/>
  <c r="O343" i="16" s="1"/>
  <c r="L294" i="16"/>
  <c r="N294" i="16"/>
  <c r="O294" i="16" s="1"/>
  <c r="L360" i="16"/>
  <c r="N360" i="16"/>
  <c r="L152" i="16"/>
  <c r="J21" i="16"/>
  <c r="K21" i="16" s="1"/>
  <c r="L21" i="16" s="1"/>
  <c r="O32" i="16"/>
  <c r="O84" i="16"/>
  <c r="O218" i="16"/>
  <c r="O221" i="16"/>
  <c r="O118" i="16"/>
  <c r="O309" i="16"/>
  <c r="O233" i="16"/>
  <c r="O230" i="16"/>
  <c r="O52" i="16"/>
  <c r="O110" i="16"/>
  <c r="O185" i="16"/>
  <c r="O401" i="16"/>
  <c r="O400" i="16"/>
  <c r="O403" i="16"/>
  <c r="O382" i="16"/>
  <c r="O380" i="16"/>
  <c r="O387" i="16"/>
  <c r="O390" i="16"/>
  <c r="O386" i="16"/>
  <c r="O376" i="16"/>
  <c r="O310" i="16"/>
  <c r="O312" i="16"/>
  <c r="O365" i="16"/>
  <c r="O356" i="16"/>
  <c r="O353" i="16"/>
  <c r="O358" i="16"/>
  <c r="O357" i="16"/>
  <c r="O352" i="16"/>
  <c r="O347" i="16"/>
  <c r="O360" i="16"/>
  <c r="O335" i="16"/>
  <c r="O328" i="16"/>
  <c r="O313" i="16"/>
  <c r="O320" i="16"/>
  <c r="O316" i="16"/>
  <c r="O300" i="16"/>
  <c r="O303" i="16"/>
  <c r="O304" i="16"/>
  <c r="O296" i="16"/>
  <c r="O291" i="16"/>
  <c r="O289" i="16"/>
  <c r="O264" i="16"/>
  <c r="O282" i="16"/>
  <c r="L270" i="16"/>
  <c r="O270" i="16"/>
  <c r="O281" i="16"/>
  <c r="L273" i="16"/>
  <c r="O273" i="16"/>
  <c r="O280" i="16"/>
  <c r="O277" i="16"/>
  <c r="O268" i="16"/>
  <c r="O276" i="16"/>
  <c r="L272" i="16"/>
  <c r="O272" i="16"/>
  <c r="O269" i="16"/>
  <c r="O285" i="16"/>
  <c r="O265" i="16"/>
  <c r="O284" i="16"/>
  <c r="O253" i="16"/>
  <c r="O255" i="16"/>
  <c r="O252" i="16"/>
  <c r="O250" i="16"/>
  <c r="O236" i="16"/>
  <c r="O229" i="16"/>
  <c r="O237" i="16"/>
  <c r="O238" i="16"/>
  <c r="O244" i="16"/>
  <c r="O214" i="16"/>
  <c r="L200" i="16"/>
  <c r="O220" i="16"/>
  <c r="O204" i="16"/>
  <c r="O212" i="16"/>
  <c r="O210" i="16"/>
  <c r="O207" i="16"/>
  <c r="O211" i="16"/>
  <c r="O213" i="16"/>
  <c r="O199" i="16"/>
  <c r="O219" i="16"/>
  <c r="O203" i="16"/>
  <c r="O223" i="16"/>
  <c r="O194" i="16"/>
  <c r="O183" i="16"/>
  <c r="O188" i="16"/>
  <c r="O187" i="16"/>
  <c r="O186" i="16"/>
  <c r="O171" i="16"/>
  <c r="O177" i="16"/>
  <c r="O173" i="16"/>
  <c r="O174" i="16"/>
  <c r="L163" i="16"/>
  <c r="O166" i="16"/>
  <c r="O165" i="16"/>
  <c r="O164" i="16"/>
  <c r="O150" i="16"/>
  <c r="O149" i="16"/>
  <c r="O148" i="16"/>
  <c r="O147" i="16"/>
  <c r="O143" i="16"/>
  <c r="O141" i="16"/>
  <c r="O135" i="16"/>
  <c r="O134" i="16"/>
  <c r="O131" i="16"/>
  <c r="O130" i="16"/>
  <c r="O129" i="16"/>
  <c r="O114" i="16"/>
  <c r="O100" i="16"/>
  <c r="O104" i="16"/>
  <c r="O103" i="16"/>
  <c r="O101" i="16"/>
  <c r="O96" i="16"/>
  <c r="O94" i="16"/>
  <c r="O93" i="16"/>
  <c r="O87" i="16"/>
  <c r="O89" i="16"/>
  <c r="O86" i="16"/>
  <c r="O88" i="16"/>
  <c r="O78" i="16"/>
  <c r="O79" i="16"/>
  <c r="O76" i="16"/>
  <c r="O68" i="16"/>
  <c r="O69" i="16"/>
  <c r="O65" i="16"/>
  <c r="O70" i="16"/>
  <c r="O63" i="16"/>
  <c r="O66" i="16"/>
  <c r="O71" i="16"/>
  <c r="O62" i="16"/>
  <c r="O67" i="16"/>
  <c r="O57" i="16"/>
  <c r="O111" i="16"/>
  <c r="O128" i="16"/>
  <c r="M306" i="16"/>
  <c r="M259" i="16"/>
  <c r="M286" i="16"/>
  <c r="L336" i="16"/>
  <c r="O336" i="16"/>
  <c r="P40" i="16"/>
  <c r="O13" i="16"/>
  <c r="L42" i="16"/>
  <c r="L13" i="16"/>
  <c r="L19" i="16"/>
  <c r="L17" i="16"/>
  <c r="O43" i="16"/>
  <c r="O22" i="16"/>
  <c r="O17" i="16"/>
  <c r="L32" i="16"/>
  <c r="O37" i="16"/>
  <c r="O16" i="16"/>
  <c r="O51" i="16"/>
  <c r="L35" i="16"/>
  <c r="O35" i="16"/>
  <c r="P38" i="16"/>
  <c r="L31" i="16"/>
  <c r="O42" i="16"/>
  <c r="O18" i="16"/>
  <c r="L18" i="16"/>
  <c r="L37" i="16"/>
  <c r="L293" i="16"/>
  <c r="O31" i="16"/>
  <c r="L16" i="16"/>
  <c r="L51" i="16"/>
  <c r="L43" i="16"/>
  <c r="L22" i="16"/>
  <c r="O19" i="16"/>
  <c r="I382" i="16"/>
  <c r="I266" i="16"/>
  <c r="I331" i="16"/>
  <c r="I262" i="16"/>
  <c r="I124" i="16"/>
  <c r="I178" i="16"/>
  <c r="L376" i="16"/>
  <c r="P13" i="16"/>
  <c r="J38" i="16"/>
  <c r="K38" i="16" s="1"/>
  <c r="I210" i="16"/>
  <c r="I202" i="16"/>
  <c r="I195" i="16"/>
  <c r="I379" i="16"/>
  <c r="P26" i="16"/>
  <c r="P53" i="16"/>
  <c r="P25" i="16"/>
  <c r="P28" i="16"/>
  <c r="P29" i="16"/>
  <c r="P12" i="16"/>
  <c r="P27" i="16"/>
  <c r="P45" i="16"/>
  <c r="D637" i="16"/>
  <c r="P47" i="16"/>
  <c r="P46" i="16"/>
  <c r="P44" i="16"/>
  <c r="P49" i="16"/>
  <c r="P22" i="16"/>
  <c r="K158" i="16"/>
  <c r="L158" i="16" s="1"/>
  <c r="I404" i="16"/>
  <c r="J40" i="16"/>
  <c r="K40" i="16" s="1"/>
  <c r="L156" i="16"/>
  <c r="I125" i="16"/>
  <c r="I119" i="16"/>
  <c r="K119" i="16"/>
  <c r="L119" i="16" s="1"/>
  <c r="I376" i="16"/>
  <c r="K297" i="16"/>
  <c r="K153" i="16"/>
  <c r="I224" i="16"/>
  <c r="K245" i="16"/>
  <c r="L245" i="16" s="1"/>
  <c r="K306" i="16"/>
  <c r="K404" i="16"/>
  <c r="L404" i="16" s="1"/>
  <c r="K125" i="16"/>
  <c r="L122" i="16"/>
  <c r="K396" i="16"/>
  <c r="L396" i="16" s="1"/>
  <c r="I373" i="16"/>
  <c r="L110" i="16"/>
  <c r="I106" i="16"/>
  <c r="I286" i="16"/>
  <c r="K224" i="16"/>
  <c r="J175" i="16"/>
  <c r="K175" i="16" s="1"/>
  <c r="I245" i="16"/>
  <c r="I227" i="16"/>
  <c r="K144" i="16"/>
  <c r="L144" i="16" s="1"/>
  <c r="J39" i="16"/>
  <c r="K39" i="16" s="1"/>
  <c r="I144" i="16"/>
  <c r="I212" i="16"/>
  <c r="K191" i="16"/>
  <c r="L182" i="16"/>
  <c r="I137" i="16"/>
  <c r="I369" i="16"/>
  <c r="I402" i="16"/>
  <c r="L239" i="16"/>
  <c r="K82" i="16"/>
  <c r="L82" i="16" s="1"/>
  <c r="J11" i="16"/>
  <c r="K11" i="16" s="1"/>
  <c r="J24" i="16"/>
  <c r="K24" i="16" s="1"/>
  <c r="J20" i="16"/>
  <c r="K20" i="16" s="1"/>
  <c r="K73" i="16"/>
  <c r="O73" i="16" s="1"/>
  <c r="I167" i="16"/>
  <c r="K106" i="16"/>
  <c r="J15" i="16"/>
  <c r="K15" i="16" s="1"/>
  <c r="J41" i="16"/>
  <c r="K41" i="16" s="1"/>
  <c r="J30" i="16"/>
  <c r="K30" i="16" s="1"/>
  <c r="J23" i="16"/>
  <c r="K23" i="16" s="1"/>
  <c r="I396" i="16"/>
  <c r="K137" i="16"/>
  <c r="I158" i="16"/>
  <c r="I110" i="16"/>
  <c r="J34" i="16"/>
  <c r="K34" i="16" s="1"/>
  <c r="I73" i="16"/>
  <c r="J33" i="16"/>
  <c r="K33" i="16" s="1"/>
  <c r="J10" i="16"/>
  <c r="K10" i="16" s="1"/>
  <c r="O10" i="16" s="1"/>
  <c r="P10" i="16"/>
  <c r="K369" i="16"/>
  <c r="I306" i="16"/>
  <c r="I82" i="16"/>
  <c r="K167" i="16"/>
  <c r="J14" i="16"/>
  <c r="K14" i="16" s="1"/>
  <c r="K286" i="16"/>
  <c r="J36" i="16"/>
  <c r="K36" i="16" s="1"/>
  <c r="I248" i="16"/>
  <c r="I153" i="16"/>
  <c r="I40" i="16" l="1"/>
  <c r="I38" i="16"/>
  <c r="I21" i="16"/>
  <c r="I19" i="16"/>
  <c r="I18" i="16"/>
  <c r="I39" i="16"/>
  <c r="I34" i="16"/>
  <c r="I15" i="16"/>
  <c r="I17" i="16"/>
  <c r="I22" i="16"/>
  <c r="I293" i="16"/>
  <c r="N293" i="16"/>
  <c r="O293" i="16" s="1"/>
  <c r="L137" i="16"/>
  <c r="N137" i="16"/>
  <c r="O137" i="16" s="1"/>
  <c r="L191" i="16"/>
  <c r="N191" i="16"/>
  <c r="O191" i="16" s="1"/>
  <c r="L125" i="16"/>
  <c r="N124" i="16"/>
  <c r="O124" i="16" s="1"/>
  <c r="L306" i="16"/>
  <c r="N306" i="16"/>
  <c r="O306" i="16" s="1"/>
  <c r="L167" i="16"/>
  <c r="N167" i="16"/>
  <c r="O167" i="16" s="1"/>
  <c r="L106" i="16"/>
  <c r="N106" i="16"/>
  <c r="O106" i="16" s="1"/>
  <c r="L224" i="16"/>
  <c r="N224" i="16"/>
  <c r="O224" i="16" s="1"/>
  <c r="L286" i="16"/>
  <c r="N286" i="16"/>
  <c r="O286" i="16" s="1"/>
  <c r="L153" i="16"/>
  <c r="N153" i="16"/>
  <c r="O153" i="16" s="1"/>
  <c r="O175" i="16"/>
  <c r="O21" i="16"/>
  <c r="O245" i="16"/>
  <c r="O404" i="16"/>
  <c r="O396" i="16"/>
  <c r="O158" i="16"/>
  <c r="O144" i="16"/>
  <c r="O125" i="16"/>
  <c r="O82" i="16"/>
  <c r="O119" i="16"/>
  <c r="O297" i="16"/>
  <c r="P31" i="16"/>
  <c r="L39" i="16"/>
  <c r="O39" i="16"/>
  <c r="L297" i="16"/>
  <c r="L15" i="16"/>
  <c r="O15" i="16"/>
  <c r="L40" i="16"/>
  <c r="O40" i="16"/>
  <c r="L41" i="16"/>
  <c r="O41" i="16"/>
  <c r="L36" i="16"/>
  <c r="O36" i="16"/>
  <c r="L23" i="16"/>
  <c r="O23" i="16"/>
  <c r="L38" i="16"/>
  <c r="O38" i="16"/>
  <c r="L11" i="16"/>
  <c r="O11" i="16"/>
  <c r="L33" i="16"/>
  <c r="O33" i="16"/>
  <c r="L20" i="16"/>
  <c r="O20" i="16"/>
  <c r="L34" i="16"/>
  <c r="O34" i="16"/>
  <c r="L24" i="16"/>
  <c r="O24" i="16"/>
  <c r="L14" i="16"/>
  <c r="O14" i="16"/>
  <c r="L30" i="16"/>
  <c r="O30" i="16"/>
  <c r="L369" i="16"/>
  <c r="O369" i="16"/>
  <c r="M297" i="16"/>
  <c r="I297" i="16"/>
  <c r="P18" i="16"/>
  <c r="I183" i="16"/>
  <c r="P33" i="16"/>
  <c r="P11" i="16"/>
  <c r="P39" i="16"/>
  <c r="P21" i="16"/>
  <c r="P15" i="16"/>
  <c r="P41" i="16"/>
  <c r="P35" i="16"/>
  <c r="P23" i="16"/>
  <c r="P19" i="16"/>
  <c r="P36" i="16"/>
  <c r="P16" i="16"/>
  <c r="I43" i="16"/>
  <c r="P43" i="16"/>
  <c r="P34" i="16"/>
  <c r="I51" i="16"/>
  <c r="P51" i="16"/>
  <c r="I37" i="16"/>
  <c r="P37" i="16"/>
  <c r="I42" i="16"/>
  <c r="P42" i="16"/>
  <c r="I20" i="16"/>
  <c r="P20" i="16"/>
  <c r="P17" i="16"/>
  <c r="I32" i="16"/>
  <c r="P32" i="16"/>
  <c r="I14" i="16"/>
  <c r="P14" i="16"/>
  <c r="I30" i="16"/>
  <c r="P30" i="16"/>
  <c r="P24" i="16"/>
  <c r="L73" i="16"/>
  <c r="L175" i="16"/>
  <c r="K179" i="16"/>
  <c r="I175" i="16"/>
  <c r="I10" i="16"/>
  <c r="K54" i="16"/>
  <c r="N54" i="16" s="1"/>
  <c r="L10" i="16"/>
  <c r="I13" i="16" l="1"/>
  <c r="I36" i="16"/>
  <c r="I24" i="16"/>
  <c r="I33" i="16"/>
  <c r="I16" i="16"/>
  <c r="I31" i="16"/>
  <c r="I23" i="16"/>
  <c r="I35" i="16"/>
  <c r="I41" i="16"/>
  <c r="L179" i="16"/>
  <c r="N179" i="16"/>
  <c r="O54" i="16"/>
  <c r="I191" i="16"/>
  <c r="P54" i="16"/>
  <c r="I179" i="16"/>
  <c r="L54" i="16"/>
  <c r="O179" i="16" l="1"/>
  <c r="I54" i="16"/>
  <c r="I11" i="16"/>
  <c r="I37" i="15"/>
  <c r="I38" i="15"/>
  <c r="I39" i="15"/>
  <c r="I28" i="15"/>
  <c r="I30" i="15" s="1"/>
  <c r="I26" i="15" s="1"/>
  <c r="H30" i="15"/>
  <c r="H26" i="15" s="1"/>
  <c r="F180" i="15"/>
  <c r="L179" i="15"/>
  <c r="K179" i="15"/>
  <c r="J179" i="15"/>
  <c r="J180" i="15" s="1"/>
  <c r="B179" i="15"/>
  <c r="A179" i="15"/>
  <c r="D170" i="15"/>
  <c r="D161" i="15"/>
  <c r="D160" i="15"/>
  <c r="I145" i="15"/>
  <c r="D146" i="15"/>
  <c r="H144" i="15"/>
  <c r="I144" i="15" s="1"/>
  <c r="F136" i="15"/>
  <c r="E136" i="15"/>
  <c r="E135" i="15"/>
  <c r="G135" i="15" s="1"/>
  <c r="E134" i="15"/>
  <c r="G134" i="15" s="1"/>
  <c r="E125" i="15"/>
  <c r="G125" i="15" s="1"/>
  <c r="I125" i="15" s="1"/>
  <c r="G116" i="15"/>
  <c r="I116" i="15" s="1"/>
  <c r="G115" i="15"/>
  <c r="I115" i="15" s="1"/>
  <c r="G108" i="15"/>
  <c r="I108" i="15" s="1"/>
  <c r="G107" i="15"/>
  <c r="I107" i="15" s="1"/>
  <c r="G100" i="15"/>
  <c r="I100" i="15" s="1"/>
  <c r="G99" i="15"/>
  <c r="I99" i="15" s="1"/>
  <c r="G92" i="15"/>
  <c r="I92" i="15" s="1"/>
  <c r="G91" i="15"/>
  <c r="I91" i="15" s="1"/>
  <c r="H86" i="15"/>
  <c r="G84" i="15"/>
  <c r="I84" i="15" s="1"/>
  <c r="C84" i="15"/>
  <c r="G83" i="15"/>
  <c r="I83" i="15" s="1"/>
  <c r="C83" i="15"/>
  <c r="R78" i="15"/>
  <c r="Q78" i="15"/>
  <c r="P78" i="15"/>
  <c r="O78" i="15"/>
  <c r="N78" i="15"/>
  <c r="M78" i="15"/>
  <c r="L78" i="15"/>
  <c r="K78" i="15"/>
  <c r="J78" i="15"/>
  <c r="D76" i="15"/>
  <c r="G75" i="15"/>
  <c r="H75" i="15" s="1"/>
  <c r="G74" i="15"/>
  <c r="H74" i="15" s="1"/>
  <c r="G73" i="15"/>
  <c r="H73" i="15" s="1"/>
  <c r="G72" i="15"/>
  <c r="H72" i="15" s="1"/>
  <c r="I72" i="15" s="1"/>
  <c r="G71" i="15"/>
  <c r="H71" i="15" s="1"/>
  <c r="G70" i="15"/>
  <c r="H70" i="15" s="1"/>
  <c r="R65" i="15"/>
  <c r="Q65" i="15"/>
  <c r="P65" i="15"/>
  <c r="O65" i="15"/>
  <c r="N65" i="15"/>
  <c r="M65" i="15"/>
  <c r="L65" i="15"/>
  <c r="K65" i="15"/>
  <c r="J65" i="15"/>
  <c r="G63" i="15"/>
  <c r="I63" i="15" s="1"/>
  <c r="G62" i="15"/>
  <c r="I62" i="15" s="1"/>
  <c r="H55" i="15"/>
  <c r="I55" i="15" s="1"/>
  <c r="G52" i="15"/>
  <c r="Q51" i="15"/>
  <c r="D48" i="15"/>
  <c r="D51" i="15" s="1"/>
  <c r="Q47" i="15"/>
  <c r="Q45" i="15"/>
  <c r="M46" i="15" s="1"/>
  <c r="H41" i="15"/>
  <c r="H33" i="15" s="1"/>
  <c r="G36" i="15"/>
  <c r="I36" i="15" s="1"/>
  <c r="I24" i="15"/>
  <c r="I20" i="15" s="1"/>
  <c r="H24" i="15"/>
  <c r="H20" i="15" s="1"/>
  <c r="H18" i="15"/>
  <c r="H10" i="15" s="1"/>
  <c r="Q15" i="15"/>
  <c r="E15" i="15"/>
  <c r="G15" i="15" s="1"/>
  <c r="D14" i="15"/>
  <c r="D16" i="15" s="1"/>
  <c r="Q13" i="15"/>
  <c r="Q11" i="15"/>
  <c r="N12" i="15" s="1"/>
  <c r="L10" i="15"/>
  <c r="K10" i="15"/>
  <c r="J10" i="15"/>
  <c r="D158" i="14"/>
  <c r="D157" i="14"/>
  <c r="D167" i="14"/>
  <c r="H43" i="15" l="1"/>
  <c r="G136" i="15"/>
  <c r="I41" i="15"/>
  <c r="I33" i="15" s="1"/>
  <c r="H78" i="15"/>
  <c r="H67" i="15" s="1"/>
  <c r="N46" i="15"/>
  <c r="I133" i="15"/>
  <c r="O12" i="15"/>
  <c r="D163" i="15"/>
  <c r="D171" i="15" s="1"/>
  <c r="M12" i="15"/>
  <c r="E14" i="15"/>
  <c r="G14" i="15" s="1"/>
  <c r="I14" i="15" s="1"/>
  <c r="I16" i="15" s="1"/>
  <c r="I18" i="15" s="1"/>
  <c r="I10" i="15" s="1"/>
  <c r="G51" i="15"/>
  <c r="G53" i="15" s="1"/>
  <c r="I53" i="15" s="1"/>
  <c r="I43" i="15" s="1"/>
  <c r="D53" i="15"/>
  <c r="F51" i="15"/>
  <c r="F53" i="15" s="1"/>
  <c r="H65" i="15"/>
  <c r="H59" i="15" s="1"/>
  <c r="I65" i="15"/>
  <c r="I59" i="15" s="1"/>
  <c r="I118" i="15"/>
  <c r="I112" i="15" s="1"/>
  <c r="H118" i="15"/>
  <c r="H112" i="15" s="1"/>
  <c r="H110" i="15"/>
  <c r="H104" i="15" s="1"/>
  <c r="I110" i="15"/>
  <c r="I104" i="15" s="1"/>
  <c r="H76" i="15"/>
  <c r="I70" i="15"/>
  <c r="I78" i="15" s="1"/>
  <c r="I67" i="15" s="1"/>
  <c r="I86" i="15"/>
  <c r="H102" i="15"/>
  <c r="H96" i="15" s="1"/>
  <c r="I102" i="15"/>
  <c r="I96" i="15" s="1"/>
  <c r="H94" i="15"/>
  <c r="H88" i="15" s="1"/>
  <c r="I94" i="15"/>
  <c r="I88" i="15" s="1"/>
  <c r="I127" i="15"/>
  <c r="I120" i="15" s="1"/>
  <c r="H127" i="15"/>
  <c r="H120" i="15" s="1"/>
  <c r="K180" i="15"/>
  <c r="L180" i="15" s="1"/>
  <c r="O46" i="15"/>
  <c r="G76" i="15"/>
  <c r="D160" i="14"/>
  <c r="D168" i="14" s="1"/>
  <c r="E16" i="15" l="1"/>
  <c r="G16" i="15" s="1"/>
  <c r="Q46" i="15"/>
  <c r="G137" i="15"/>
  <c r="D134" i="15" s="1"/>
  <c r="Q12" i="15"/>
  <c r="H80" i="15"/>
  <c r="I80" i="15"/>
  <c r="F135" i="14"/>
  <c r="E135" i="14"/>
  <c r="E134" i="14"/>
  <c r="E133" i="14"/>
  <c r="D141" i="15" l="1"/>
  <c r="H141" i="15" s="1"/>
  <c r="D138" i="15"/>
  <c r="G146" i="15"/>
  <c r="D133" i="14"/>
  <c r="D134" i="14" s="1"/>
  <c r="E124" i="14"/>
  <c r="G124" i="14" s="1"/>
  <c r="G143" i="14"/>
  <c r="G84" i="14"/>
  <c r="H84" i="14" s="1"/>
  <c r="I84" i="14" s="1"/>
  <c r="C84" i="14"/>
  <c r="G83" i="14"/>
  <c r="H83" i="14" s="1"/>
  <c r="I83" i="14" s="1"/>
  <c r="C83" i="14"/>
  <c r="G71" i="14"/>
  <c r="H71" i="14" s="1"/>
  <c r="G72" i="14"/>
  <c r="H72" i="14" s="1"/>
  <c r="G73" i="14"/>
  <c r="H73" i="14" s="1"/>
  <c r="G74" i="14"/>
  <c r="H74" i="14" s="1"/>
  <c r="G75" i="14"/>
  <c r="H75" i="14" s="1"/>
  <c r="G70" i="14"/>
  <c r="D76" i="14"/>
  <c r="I141" i="15" l="1"/>
  <c r="H146" i="15"/>
  <c r="G76" i="14"/>
  <c r="D138" i="14"/>
  <c r="H70" i="14"/>
  <c r="H76" i="14" s="1"/>
  <c r="H78" i="14" s="1"/>
  <c r="I146" i="15" l="1"/>
  <c r="I129" i="15" s="1"/>
  <c r="H129" i="15"/>
  <c r="G115" i="14"/>
  <c r="H115" i="14" s="1"/>
  <c r="I115" i="14" s="1"/>
  <c r="G114" i="14"/>
  <c r="H114" i="14" s="1"/>
  <c r="I114" i="14" s="1"/>
  <c r="G107" i="14"/>
  <c r="H107" i="14" s="1"/>
  <c r="I107" i="14" s="1"/>
  <c r="G106" i="14"/>
  <c r="H106" i="14" s="1"/>
  <c r="I106" i="14" s="1"/>
  <c r="G100" i="14"/>
  <c r="H100" i="14" s="1"/>
  <c r="I100" i="14" s="1"/>
  <c r="G99" i="14"/>
  <c r="H99" i="14" s="1"/>
  <c r="I99" i="14" s="1"/>
  <c r="G92" i="14"/>
  <c r="H92" i="14" s="1"/>
  <c r="I92" i="14" s="1"/>
  <c r="G91" i="14"/>
  <c r="H91" i="14" s="1"/>
  <c r="I91" i="14" s="1"/>
  <c r="G63" i="14"/>
  <c r="H63" i="14" s="1"/>
  <c r="I63" i="14" s="1"/>
  <c r="G62" i="14"/>
  <c r="H62" i="14" s="1"/>
  <c r="I72" i="14"/>
  <c r="I70" i="14"/>
  <c r="D142" i="14"/>
  <c r="D143" i="14" s="1"/>
  <c r="H141" i="14"/>
  <c r="I141" i="14" s="1"/>
  <c r="H132" i="14"/>
  <c r="H124" i="14"/>
  <c r="I124" i="14" s="1"/>
  <c r="I126" i="14" s="1"/>
  <c r="I119" i="14" s="1"/>
  <c r="R78" i="14"/>
  <c r="Q78" i="14"/>
  <c r="P78" i="14"/>
  <c r="O78" i="14"/>
  <c r="N78" i="14"/>
  <c r="M78" i="14"/>
  <c r="L78" i="14"/>
  <c r="K78" i="14"/>
  <c r="J78" i="14"/>
  <c r="J65" i="14"/>
  <c r="K65" i="14"/>
  <c r="L65" i="14"/>
  <c r="M65" i="14"/>
  <c r="N65" i="14"/>
  <c r="O65" i="14"/>
  <c r="P65" i="14"/>
  <c r="Q65" i="14"/>
  <c r="R65" i="14"/>
  <c r="I67" i="14"/>
  <c r="H67" i="14"/>
  <c r="I38" i="14"/>
  <c r="H37" i="14"/>
  <c r="I37" i="14" s="1"/>
  <c r="H39" i="14"/>
  <c r="I39" i="14" s="1"/>
  <c r="H36" i="14"/>
  <c r="I36" i="14" s="1"/>
  <c r="G36" i="14"/>
  <c r="H28" i="14"/>
  <c r="H30" i="14" s="1"/>
  <c r="H26" i="14" s="1"/>
  <c r="G52" i="14"/>
  <c r="D48" i="14"/>
  <c r="D51" i="14" s="1"/>
  <c r="E15" i="14"/>
  <c r="G15" i="14" s="1"/>
  <c r="D14" i="14"/>
  <c r="D16" i="14" s="1"/>
  <c r="I132" i="14" l="1"/>
  <c r="H142" i="14"/>
  <c r="I142" i="14" s="1"/>
  <c r="H41" i="14"/>
  <c r="H33" i="14" s="1"/>
  <c r="I78" i="14"/>
  <c r="I94" i="14"/>
  <c r="H109" i="14"/>
  <c r="I102" i="14"/>
  <c r="I86" i="14"/>
  <c r="I109" i="14"/>
  <c r="I41" i="14"/>
  <c r="I33" i="14" s="1"/>
  <c r="H65" i="14"/>
  <c r="H86" i="14"/>
  <c r="I117" i="14"/>
  <c r="I111" i="14" s="1"/>
  <c r="I104" i="14" s="1"/>
  <c r="I96" i="14" s="1"/>
  <c r="I88" i="14" s="1"/>
  <c r="I80" i="14" s="1"/>
  <c r="H94" i="14"/>
  <c r="H102" i="14"/>
  <c r="H126" i="14"/>
  <c r="H119" i="14" s="1"/>
  <c r="H117" i="14"/>
  <c r="H111" i="14" s="1"/>
  <c r="I28" i="14"/>
  <c r="I30" i="14" s="1"/>
  <c r="I26" i="14" s="1"/>
  <c r="I62" i="14"/>
  <c r="G51" i="14"/>
  <c r="G53" i="14" s="1"/>
  <c r="I53" i="14" s="1"/>
  <c r="I43" i="14" s="1"/>
  <c r="D53" i="14"/>
  <c r="F51" i="14"/>
  <c r="F53" i="14" s="1"/>
  <c r="E14" i="14"/>
  <c r="H143" i="14" l="1"/>
  <c r="H104" i="14"/>
  <c r="I65" i="14"/>
  <c r="I59" i="14" s="1"/>
  <c r="H55" i="14"/>
  <c r="G14" i="14"/>
  <c r="I14" i="14" s="1"/>
  <c r="I16" i="14" s="1"/>
  <c r="E16" i="14"/>
  <c r="G16" i="14" s="1"/>
  <c r="H128" i="14" l="1"/>
  <c r="I143" i="14"/>
  <c r="I128" i="14" s="1"/>
  <c r="H96" i="14"/>
  <c r="I55" i="14"/>
  <c r="H43" i="14"/>
  <c r="H88" i="14" l="1"/>
  <c r="H80" i="14" l="1"/>
  <c r="F177" i="14" l="1"/>
  <c r="L176" i="14"/>
  <c r="K176" i="14"/>
  <c r="J176" i="14"/>
  <c r="J177" i="14" s="1"/>
  <c r="B176" i="14"/>
  <c r="A176" i="14"/>
  <c r="Q51" i="14"/>
  <c r="Q47" i="14"/>
  <c r="Q45" i="14"/>
  <c r="O46" i="14" s="1"/>
  <c r="I24" i="14"/>
  <c r="I20" i="14" s="1"/>
  <c r="H24" i="14"/>
  <c r="H20" i="14" s="1"/>
  <c r="Q15" i="14"/>
  <c r="Q13" i="14"/>
  <c r="Q11" i="14"/>
  <c r="M12" i="14" s="1"/>
  <c r="L10" i="14"/>
  <c r="K10" i="14"/>
  <c r="J10" i="14"/>
  <c r="O12" i="14" l="1"/>
  <c r="N12" i="14"/>
  <c r="K177" i="14"/>
  <c r="L177" i="14" s="1"/>
  <c r="M46" i="14"/>
  <c r="N46" i="14"/>
  <c r="Q12" i="14" l="1"/>
  <c r="Q46" i="14"/>
  <c r="I18" i="14"/>
  <c r="I10" i="14" s="1"/>
  <c r="H18" i="14"/>
  <c r="H10" i="14" s="1"/>
  <c r="E15" i="11" l="1"/>
  <c r="G15" i="11" s="1"/>
  <c r="Q33" i="11"/>
  <c r="D30" i="11"/>
  <c r="D33" i="11" s="1"/>
  <c r="Q29" i="11"/>
  <c r="Q27" i="11"/>
  <c r="O28" i="11" s="1"/>
  <c r="D35" i="11" l="1"/>
  <c r="F33" i="11"/>
  <c r="F35" i="11" s="1"/>
  <c r="H35" i="11" s="1"/>
  <c r="M28" i="11"/>
  <c r="G33" i="11"/>
  <c r="G34" i="11"/>
  <c r="N28" i="11"/>
  <c r="H37" i="11" l="1"/>
  <c r="I35" i="11"/>
  <c r="G35" i="11"/>
  <c r="Q28" i="11"/>
  <c r="F57" i="11"/>
  <c r="D14" i="11"/>
  <c r="D16" i="11" s="1"/>
  <c r="E14" i="11" l="1"/>
  <c r="H25" i="11"/>
  <c r="I37" i="11"/>
  <c r="I25" i="11" s="1"/>
  <c r="L56" i="11"/>
  <c r="K56" i="11"/>
  <c r="J56" i="11"/>
  <c r="J57" i="11" s="1"/>
  <c r="B56" i="11"/>
  <c r="A56" i="11"/>
  <c r="I23" i="11"/>
  <c r="I19" i="11" s="1"/>
  <c r="H23" i="11"/>
  <c r="H19" i="11" s="1"/>
  <c r="Q15" i="11"/>
  <c r="Q13" i="11"/>
  <c r="Q11" i="11"/>
  <c r="O12" i="11" s="1"/>
  <c r="L10" i="11"/>
  <c r="K10" i="11"/>
  <c r="J10" i="11"/>
  <c r="G14" i="11" l="1"/>
  <c r="I14" i="11" s="1"/>
  <c r="I16" i="11" s="1"/>
  <c r="I18" i="11" s="1"/>
  <c r="E16" i="11"/>
  <c r="G16" i="11" s="1"/>
  <c r="H16" i="11" s="1"/>
  <c r="K57" i="11"/>
  <c r="L57" i="11" s="1"/>
  <c r="M12" i="11"/>
  <c r="N12" i="11"/>
  <c r="I52" i="11" l="1"/>
  <c r="Q12" i="11"/>
  <c r="H52" i="11" l="1"/>
  <c r="H18" i="11"/>
  <c r="H10" i="11" s="1"/>
  <c r="C4" i="8"/>
  <c r="L34" i="5"/>
  <c r="K34" i="5"/>
  <c r="J34" i="5"/>
  <c r="J35" i="5" s="1"/>
  <c r="B34" i="5"/>
  <c r="A34" i="5"/>
  <c r="I29" i="5"/>
  <c r="I25" i="5" s="1"/>
  <c r="H29" i="5"/>
  <c r="H25" i="5" s="1"/>
  <c r="Q16" i="5"/>
  <c r="Q17" i="5"/>
  <c r="Q14" i="5"/>
  <c r="N15" i="5" s="1"/>
  <c r="D17" i="5"/>
  <c r="F17" i="5" s="1"/>
  <c r="I10" i="11" l="1"/>
  <c r="O15" i="5"/>
  <c r="E17" i="5"/>
  <c r="G17" i="5" s="1"/>
  <c r="H17" i="5" s="1"/>
  <c r="K35" i="5"/>
  <c r="L35" i="5" s="1"/>
  <c r="M15" i="5"/>
  <c r="N18" i="5"/>
  <c r="O18" i="5"/>
  <c r="M18" i="5"/>
  <c r="D28" i="15"/>
  <c r="D35" i="15"/>
  <c r="A177" i="15"/>
  <c r="B177" i="15"/>
  <c r="D97" i="15"/>
  <c r="D106" i="15"/>
  <c r="D60" i="15"/>
  <c r="D122" i="15"/>
  <c r="D130" i="15"/>
  <c r="D149" i="15"/>
  <c r="D173" i="15" s="1"/>
  <c r="G173" i="15" s="1"/>
  <c r="I173" i="15" s="1"/>
  <c r="A20" i="15"/>
  <c r="B20" i="15"/>
  <c r="D68" i="15"/>
  <c r="A8" i="15"/>
  <c r="B8" i="15"/>
  <c r="D3" i="8"/>
  <c r="D4" i="8" s="1"/>
  <c r="I175" i="15" l="1"/>
  <c r="I148" i="15" s="1"/>
  <c r="H175" i="15"/>
  <c r="H148" i="15" s="1"/>
  <c r="A10" i="14"/>
  <c r="A10" i="15"/>
  <c r="C88" i="15"/>
  <c r="C63" i="15"/>
  <c r="C80" i="15"/>
  <c r="C62" i="15"/>
  <c r="C67" i="15"/>
  <c r="C60" i="15"/>
  <c r="C59" i="14"/>
  <c r="C59" i="15"/>
  <c r="B43" i="14"/>
  <c r="B43" i="15"/>
  <c r="A33" i="14"/>
  <c r="A33" i="15"/>
  <c r="C145" i="14"/>
  <c r="C148" i="15"/>
  <c r="C111" i="14"/>
  <c r="C112" i="15"/>
  <c r="C104" i="14"/>
  <c r="C104" i="15"/>
  <c r="C96" i="14"/>
  <c r="C96" i="15"/>
  <c r="C119" i="14"/>
  <c r="C120" i="15"/>
  <c r="D89" i="15"/>
  <c r="D81" i="15"/>
  <c r="A26" i="14"/>
  <c r="A26" i="15"/>
  <c r="D113" i="15"/>
  <c r="B88" i="14"/>
  <c r="B88" i="15"/>
  <c r="B67" i="14"/>
  <c r="B67" i="15"/>
  <c r="B57" i="14"/>
  <c r="B57" i="15"/>
  <c r="A43" i="14"/>
  <c r="A43" i="15"/>
  <c r="C28" i="14"/>
  <c r="C28" i="15"/>
  <c r="B145" i="14"/>
  <c r="B148" i="15"/>
  <c r="B128" i="14"/>
  <c r="B129" i="15"/>
  <c r="B119" i="14"/>
  <c r="B120" i="15"/>
  <c r="B111" i="14"/>
  <c r="B112" i="15"/>
  <c r="B104" i="14"/>
  <c r="B104" i="15"/>
  <c r="B96" i="14"/>
  <c r="B96" i="15"/>
  <c r="B10" i="14"/>
  <c r="B10" i="15"/>
  <c r="B33" i="14"/>
  <c r="B33" i="15"/>
  <c r="B80" i="14"/>
  <c r="B80" i="15"/>
  <c r="B59" i="14"/>
  <c r="B59" i="15"/>
  <c r="A88" i="14"/>
  <c r="A88" i="15"/>
  <c r="A80" i="14"/>
  <c r="A80" i="15"/>
  <c r="A67" i="14"/>
  <c r="A67" i="15"/>
  <c r="A59" i="14"/>
  <c r="A59" i="15"/>
  <c r="A57" i="14"/>
  <c r="A57" i="15"/>
  <c r="C33" i="14"/>
  <c r="C33" i="15"/>
  <c r="B26" i="14"/>
  <c r="B26" i="15"/>
  <c r="A145" i="14"/>
  <c r="A148" i="15"/>
  <c r="A128" i="14"/>
  <c r="A129" i="15"/>
  <c r="A119" i="14"/>
  <c r="A120" i="15"/>
  <c r="A111" i="14"/>
  <c r="A112" i="15"/>
  <c r="A104" i="14"/>
  <c r="A104" i="15"/>
  <c r="A96" i="14"/>
  <c r="A96" i="15"/>
  <c r="Q15" i="5"/>
  <c r="C88" i="14"/>
  <c r="C63" i="14"/>
  <c r="C80" i="14"/>
  <c r="C62" i="14"/>
  <c r="C60" i="14"/>
  <c r="C67" i="14"/>
  <c r="D35" i="14"/>
  <c r="D89" i="14"/>
  <c r="D81" i="14"/>
  <c r="D68" i="14"/>
  <c r="D146" i="14"/>
  <c r="D170" i="14" s="1"/>
  <c r="D129" i="14"/>
  <c r="D121" i="14"/>
  <c r="D60" i="14"/>
  <c r="D105" i="14"/>
  <c r="D112" i="14"/>
  <c r="D97" i="14"/>
  <c r="D28" i="14"/>
  <c r="A39" i="11"/>
  <c r="A20" i="14"/>
  <c r="A174" i="14"/>
  <c r="B8" i="14"/>
  <c r="A8" i="14"/>
  <c r="B39" i="11"/>
  <c r="B20" i="14"/>
  <c r="B174" i="14"/>
  <c r="B25" i="11"/>
  <c r="A25" i="11"/>
  <c r="A8" i="5"/>
  <c r="A8" i="11"/>
  <c r="A25" i="5"/>
  <c r="A19" i="11"/>
  <c r="A32" i="5"/>
  <c r="A54" i="11"/>
  <c r="B10" i="5"/>
  <c r="B10" i="11"/>
  <c r="B8" i="5"/>
  <c r="B8" i="11"/>
  <c r="B25" i="5"/>
  <c r="B19" i="11"/>
  <c r="B32" i="5"/>
  <c r="B54" i="11"/>
  <c r="A10" i="5"/>
  <c r="A10" i="11"/>
  <c r="I17" i="5"/>
  <c r="H23" i="5"/>
  <c r="Q18" i="5"/>
  <c r="G170" i="14" l="1"/>
  <c r="H170" i="14" s="1"/>
  <c r="H10" i="5"/>
  <c r="I10" i="5"/>
  <c r="I23" i="5"/>
  <c r="I170" i="14" l="1"/>
  <c r="I172" i="14" s="1"/>
  <c r="I145" i="14" s="1"/>
  <c r="H172" i="14"/>
  <c r="H145" i="14" s="1"/>
  <c r="E35" i="5"/>
  <c r="F35" i="5" s="1"/>
  <c r="L10" i="5" l="1"/>
  <c r="K10" i="5"/>
  <c r="J10" i="5"/>
  <c r="J11" i="5" l="1"/>
  <c r="K11" i="5" s="1"/>
  <c r="L11" i="5" s="1"/>
  <c r="F36" i="5" l="1"/>
  <c r="G37" i="5" s="1"/>
  <c r="H37" i="5" s="1"/>
  <c r="H42" i="5" l="1"/>
  <c r="I37" i="5"/>
  <c r="I42" i="5" s="1"/>
  <c r="I34" i="5" s="1"/>
  <c r="Q19" i="3" l="1"/>
  <c r="R19" i="3" s="1"/>
  <c r="Q17" i="3"/>
  <c r="R17" i="3" s="1"/>
  <c r="Q15" i="3"/>
  <c r="R15" i="3" s="1"/>
  <c r="Q13" i="3"/>
  <c r="R13" i="3" s="1"/>
  <c r="Q7" i="3"/>
  <c r="N26" i="1" l="1"/>
  <c r="O26" i="1" s="1"/>
  <c r="P26" i="1" s="1"/>
  <c r="N25" i="1"/>
  <c r="O25" i="1" s="1"/>
  <c r="P25" i="1" s="1"/>
  <c r="N24" i="1"/>
  <c r="O24" i="1" s="1"/>
  <c r="P24" i="1" s="1"/>
  <c r="N23" i="1"/>
  <c r="O23" i="1" s="1"/>
  <c r="P23" i="1" s="1"/>
  <c r="N22" i="1"/>
  <c r="O22" i="1" s="1"/>
  <c r="P22" i="1" s="1"/>
  <c r="N21" i="1"/>
  <c r="O21" i="1" s="1"/>
  <c r="P21" i="1" s="1"/>
  <c r="N20" i="1"/>
  <c r="O20" i="1" s="1"/>
  <c r="P20" i="1" s="1"/>
  <c r="N19" i="1"/>
  <c r="O19" i="1" s="1"/>
  <c r="P19" i="1" s="1"/>
  <c r="N18" i="1"/>
  <c r="O18" i="1" s="1"/>
  <c r="P18" i="1" s="1"/>
  <c r="N17" i="1"/>
  <c r="O17" i="1" s="1"/>
  <c r="P17" i="1" s="1"/>
  <c r="N16" i="1"/>
  <c r="O16" i="1" s="1"/>
  <c r="P16" i="1" s="1"/>
  <c r="N15" i="1"/>
  <c r="O15" i="1" s="1"/>
  <c r="P15" i="1" s="1"/>
  <c r="N14" i="1"/>
  <c r="O14" i="1" s="1"/>
  <c r="P14" i="1" s="1"/>
  <c r="N13" i="1"/>
  <c r="O13" i="1" s="1"/>
  <c r="P13" i="1" s="1"/>
  <c r="N12" i="1"/>
  <c r="O12" i="1" s="1"/>
  <c r="P12" i="1" s="1"/>
  <c r="N11" i="1"/>
  <c r="O11" i="1" s="1"/>
  <c r="P11" i="1" s="1"/>
  <c r="N10" i="1"/>
  <c r="O10" i="1" s="1"/>
  <c r="P10" i="1" s="1"/>
  <c r="N9" i="1"/>
  <c r="O9" i="1" s="1"/>
  <c r="P9" i="1" s="1"/>
  <c r="N8" i="1"/>
  <c r="N7" i="1"/>
  <c r="H11" i="1"/>
  <c r="H8" i="1"/>
  <c r="H9" i="1"/>
  <c r="H10" i="1"/>
  <c r="H13" i="1"/>
  <c r="H14" i="1"/>
  <c r="H15" i="1"/>
  <c r="H16" i="1"/>
  <c r="H17" i="1"/>
  <c r="H18" i="1"/>
  <c r="H19" i="1"/>
  <c r="H20" i="1"/>
  <c r="H21" i="1"/>
  <c r="H22" i="1"/>
  <c r="H24" i="1"/>
  <c r="H26" i="1"/>
  <c r="H7" i="1"/>
  <c r="M11" i="1"/>
  <c r="N3" i="1" s="1"/>
  <c r="M10" i="1"/>
  <c r="M8" i="1"/>
  <c r="M9" i="1"/>
  <c r="M13" i="1"/>
  <c r="M14" i="1"/>
  <c r="M15" i="1"/>
  <c r="M16" i="1"/>
  <c r="M17" i="1"/>
  <c r="M18" i="1"/>
  <c r="M19" i="1"/>
  <c r="M20" i="1"/>
  <c r="M21" i="1"/>
  <c r="M22" i="1"/>
  <c r="M23" i="1"/>
  <c r="M24" i="1"/>
  <c r="M26" i="1"/>
  <c r="M7" i="1"/>
  <c r="C16" i="3" l="1"/>
  <c r="C18" i="3"/>
  <c r="J35" i="1"/>
  <c r="C12" i="3"/>
  <c r="C14" i="3"/>
  <c r="H27" i="1"/>
  <c r="M27" i="1"/>
  <c r="G12" i="3" l="1"/>
  <c r="N12" i="3"/>
  <c r="J12" i="3"/>
  <c r="E12" i="3"/>
  <c r="K12" i="3"/>
  <c r="M12" i="3"/>
  <c r="I12" i="3"/>
  <c r="H12" i="3"/>
  <c r="C21" i="3"/>
  <c r="D12" i="3" s="1"/>
  <c r="P12" i="3"/>
  <c r="L12" i="3"/>
  <c r="O12" i="3"/>
  <c r="F12" i="3"/>
  <c r="P18" i="3"/>
  <c r="L18" i="3"/>
  <c r="H18" i="3"/>
  <c r="I18" i="3"/>
  <c r="O18" i="3"/>
  <c r="K18" i="3"/>
  <c r="G18" i="3"/>
  <c r="N18" i="3"/>
  <c r="J18" i="3"/>
  <c r="F18" i="3"/>
  <c r="M18" i="3"/>
  <c r="E18" i="3"/>
  <c r="M16" i="3"/>
  <c r="I16" i="3"/>
  <c r="E16" i="3"/>
  <c r="N16" i="3"/>
  <c r="F16" i="3"/>
  <c r="P16" i="3"/>
  <c r="L16" i="3"/>
  <c r="H16" i="3"/>
  <c r="O16" i="3"/>
  <c r="K16" i="3"/>
  <c r="G16" i="3"/>
  <c r="J16" i="3"/>
  <c r="M14" i="3"/>
  <c r="N14" i="3"/>
  <c r="I14" i="3"/>
  <c r="E14" i="3"/>
  <c r="J14" i="3"/>
  <c r="L14" i="3"/>
  <c r="H14" i="3"/>
  <c r="F14" i="3"/>
  <c r="P14" i="3"/>
  <c r="K14" i="3"/>
  <c r="G14" i="3"/>
  <c r="O14" i="3"/>
  <c r="M28" i="1"/>
  <c r="F22" i="3" l="1"/>
  <c r="F23" i="3" s="1"/>
  <c r="D14" i="3"/>
  <c r="D16" i="3"/>
  <c r="D18" i="3"/>
  <c r="D21" i="3" s="1"/>
  <c r="G22" i="3"/>
  <c r="G23" i="3" s="1"/>
  <c r="O22" i="3"/>
  <c r="O23" i="3" s="1"/>
  <c r="L22" i="3"/>
  <c r="L23" i="3" s="1"/>
  <c r="I22" i="3"/>
  <c r="I23" i="3" s="1"/>
  <c r="J22" i="3"/>
  <c r="J23" i="3" s="1"/>
  <c r="E22" i="3"/>
  <c r="Q12" i="3"/>
  <c r="R12" i="3" s="1"/>
  <c r="P22" i="3"/>
  <c r="P23" i="3" s="1"/>
  <c r="M22" i="3"/>
  <c r="M23" i="3" s="1"/>
  <c r="N22" i="3"/>
  <c r="N23" i="3" s="1"/>
  <c r="Q14" i="3"/>
  <c r="R14" i="3" s="1"/>
  <c r="H22" i="3"/>
  <c r="H23" i="3" s="1"/>
  <c r="Q16" i="3"/>
  <c r="R16" i="3" s="1"/>
  <c r="Q18" i="3"/>
  <c r="R18" i="3" s="1"/>
  <c r="K22" i="3"/>
  <c r="K23" i="3" s="1"/>
  <c r="H34" i="5"/>
  <c r="E23" i="3" l="1"/>
  <c r="E24" i="3"/>
  <c r="G183" i="15" l="1"/>
  <c r="G180" i="14"/>
  <c r="G60" i="11"/>
  <c r="F24" i="3"/>
  <c r="E25" i="3"/>
  <c r="G24" i="3" l="1"/>
  <c r="F25" i="3"/>
  <c r="H24" i="3" l="1"/>
  <c r="G25" i="3"/>
  <c r="H25" i="3" l="1"/>
  <c r="I24" i="3"/>
  <c r="J24" i="3" l="1"/>
  <c r="I25" i="3"/>
  <c r="K24" i="3" l="1"/>
  <c r="J25" i="3"/>
  <c r="L24" i="3" l="1"/>
  <c r="K25" i="3"/>
  <c r="L25" i="3" l="1"/>
  <c r="M24" i="3"/>
  <c r="N24" i="3" l="1"/>
  <c r="M25" i="3"/>
  <c r="O24" i="3" l="1"/>
  <c r="N25" i="3"/>
  <c r="P24" i="3" l="1"/>
  <c r="P25" i="3" s="1"/>
  <c r="O25" i="3"/>
  <c r="H59" i="14" l="1"/>
  <c r="F181" i="15" l="1"/>
  <c r="G182" i="15" s="1"/>
  <c r="G184" i="15" l="1"/>
  <c r="I184" i="15" s="1"/>
  <c r="I186" i="15" s="1"/>
  <c r="I179" i="15" s="1"/>
  <c r="H182" i="15"/>
  <c r="H186" i="15" s="1"/>
  <c r="H179" i="15" s="1"/>
  <c r="F178" i="14"/>
  <c r="G179" i="14" s="1"/>
  <c r="H179" i="14" s="1"/>
  <c r="H183" i="14" s="1"/>
  <c r="H176" i="14" s="1"/>
  <c r="F58" i="11"/>
  <c r="G59" i="11" s="1"/>
  <c r="H59" i="11" l="1"/>
  <c r="H63" i="11" s="1"/>
  <c r="H56" i="11" s="1"/>
  <c r="G61" i="11"/>
  <c r="G185" i="14" l="1"/>
  <c r="G188" i="15"/>
  <c r="I61" i="11"/>
  <c r="I63" i="11" s="1"/>
  <c r="I56" i="11" s="1"/>
  <c r="G181" i="14" l="1"/>
  <c r="I181" i="14" s="1"/>
  <c r="I183" i="14" s="1"/>
  <c r="I176" i="14" s="1"/>
  <c r="J257" i="16"/>
  <c r="K257" i="16" s="1"/>
  <c r="L257" i="16" l="1"/>
  <c r="K259" i="16"/>
  <c r="N259" i="16" s="1"/>
  <c r="N637" i="16" s="1"/>
  <c r="O257" i="16"/>
  <c r="I257" i="16" l="1"/>
  <c r="L259" i="16"/>
  <c r="O259" i="16"/>
  <c r="I259" i="16" l="1"/>
  <c r="L596" i="16" l="1"/>
  <c r="M596" i="16"/>
  <c r="K634" i="16"/>
  <c r="O596" i="16"/>
  <c r="G637" i="16" l="1"/>
  <c r="I596" i="16"/>
  <c r="O634" i="16"/>
  <c r="L634" i="16"/>
  <c r="M634" i="16"/>
  <c r="J637" i="16" l="1"/>
  <c r="L637" i="16" s="1"/>
  <c r="J640" i="16"/>
  <c r="I634" i="16"/>
  <c r="I637" i="16" l="1"/>
</calcChain>
</file>

<file path=xl/sharedStrings.xml><?xml version="1.0" encoding="utf-8"?>
<sst xmlns="http://schemas.openxmlformats.org/spreadsheetml/2006/main" count="2187" uniqueCount="1114">
  <si>
    <t xml:space="preserve">SEP 88970604 </t>
  </si>
  <si>
    <t>ITENS</t>
  </si>
  <si>
    <t>FONTE</t>
  </si>
  <si>
    <t>CÓDIGO</t>
  </si>
  <si>
    <t>DESCRIÇÃO DO SERVIÇO</t>
  </si>
  <si>
    <t>UND.</t>
  </si>
  <si>
    <t>QUANT.</t>
  </si>
  <si>
    <t>P. UNITÁRIO</t>
  </si>
  <si>
    <t>(R$)</t>
  </si>
  <si>
    <t>PREÇO TOTAL</t>
  </si>
  <si>
    <t xml:space="preserve">(R$) </t>
  </si>
  <si>
    <t>SERVIÇOS INICIAIS</t>
  </si>
  <si>
    <t>01.01</t>
  </si>
  <si>
    <t xml:space="preserve">DER </t>
  </si>
  <si>
    <t>TP 2020/2</t>
  </si>
  <si>
    <t>Levantamento Cadastral de Arquitetura e Complementares</t>
  </si>
  <si>
    <t>m²</t>
  </si>
  <si>
    <t>01.02</t>
  </si>
  <si>
    <r>
      <t xml:space="preserve">DER </t>
    </r>
    <r>
      <rPr>
        <vertAlign val="superscript"/>
        <sz val="10"/>
        <color rgb="FF000000"/>
        <rFont val="Calibri"/>
        <family val="2"/>
      </rPr>
      <t>(5)</t>
    </r>
  </si>
  <si>
    <t>Equipe topográfica para serviços simples de locação e nivelamento (incluindo equipamento, transporte e profissionais nivel médio)</t>
  </si>
  <si>
    <t>mês</t>
  </si>
  <si>
    <t>01.03</t>
  </si>
  <si>
    <t>Mobilização e desmobilização de equipe e equipamento de sondagem SPT, inclusive deslocamento na Grande Vitória</t>
  </si>
  <si>
    <t>und</t>
  </si>
  <si>
    <t>01.04</t>
  </si>
  <si>
    <t>Sondagem de simples reconhecimento tipo SPT, incl. deslocamento local do equipamento até 500 m</t>
  </si>
  <si>
    <t>m</t>
  </si>
  <si>
    <t>01.05</t>
  </si>
  <si>
    <r>
      <t xml:space="preserve">SCORIO </t>
    </r>
    <r>
      <rPr>
        <vertAlign val="superscript"/>
        <sz val="10"/>
        <color rgb="FF000000"/>
        <rFont val="Calibri"/>
        <family val="2"/>
      </rPr>
      <t>(6)</t>
    </r>
  </si>
  <si>
    <t>SE 35.05.0700 (B)</t>
  </si>
  <si>
    <t>Servicos de elaboração de vistorias, laudos tecnicos, atestando as condições da Edificação, quanto a Estabilidade, Salubridade e Habitabilidade.</t>
  </si>
  <si>
    <t>PROJETOS</t>
  </si>
  <si>
    <t>02.01</t>
  </si>
  <si>
    <r>
      <t xml:space="preserve">IOPES </t>
    </r>
    <r>
      <rPr>
        <vertAlign val="superscript"/>
        <sz val="10"/>
        <color rgb="FF000000"/>
        <rFont val="Calibri"/>
        <family val="2"/>
      </rPr>
      <t>(2)</t>
    </r>
  </si>
  <si>
    <t xml:space="preserve">Projeto Arquitetônico de Regularização, Reforma e Ampliação </t>
  </si>
  <si>
    <t>m2</t>
  </si>
  <si>
    <t>02.02</t>
  </si>
  <si>
    <t>Projeto Estrutural , inclusive Fundação</t>
  </si>
  <si>
    <t>02.03</t>
  </si>
  <si>
    <t>Projeto  Hidrossanitário (água, esgoto, pluvial)</t>
  </si>
  <si>
    <t>02.04</t>
  </si>
  <si>
    <t>Projeto Elétrico</t>
  </si>
  <si>
    <t>02.05</t>
  </si>
  <si>
    <t>Projeto de cabeamento Estruturado (Voz, dados e som)</t>
  </si>
  <si>
    <t>02.06</t>
  </si>
  <si>
    <t>Projeto de Prevenção de Combate a Incêndio</t>
  </si>
  <si>
    <t>02.07</t>
  </si>
  <si>
    <t xml:space="preserve">Projeto de Climatização </t>
  </si>
  <si>
    <t>02.08</t>
  </si>
  <si>
    <t xml:space="preserve">Projeto  SPDA </t>
  </si>
  <si>
    <t>02.09</t>
  </si>
  <si>
    <t xml:space="preserve">Projeto Urbanístico e Paisagístico </t>
  </si>
  <si>
    <t>02.10</t>
  </si>
  <si>
    <t>Projeto de Alarme e  CFTV</t>
  </si>
  <si>
    <t>ORÇAMENTO</t>
  </si>
  <si>
    <t>03.01</t>
  </si>
  <si>
    <t>Planilha Orçamentária  (PLANILHA DE QUANTITATIVOS, MEMÓRIA DE CALCULO, COMPOSIÇÕES DE CUSTOS, CRONOGRAMA FÍSICO-FINANCEIRO E COTAÇÕES DE PREÇOS)</t>
  </si>
  <si>
    <t>DESPESAS GERAIS - K2 (INCLUSO DESPESAS LEGAIS)</t>
  </si>
  <si>
    <t>04.01</t>
  </si>
  <si>
    <r>
      <t>MERCADO</t>
    </r>
    <r>
      <rPr>
        <vertAlign val="superscript"/>
        <sz val="10"/>
        <color rgb="FF000000"/>
        <rFont val="Calibri"/>
        <family val="2"/>
      </rPr>
      <t xml:space="preserve"> (3)</t>
    </r>
  </si>
  <si>
    <t>Despesas Gerais - K2 - De acordo TAC</t>
  </si>
  <si>
    <t>Total Geral</t>
  </si>
  <si>
    <t>OBS.:</t>
  </si>
  <si>
    <t>1) BDI serviços Terceirizados:</t>
  </si>
  <si>
    <t>Conforme RESOLUÇÃO TC Nº 329, DE 24 DE SETEMBRO DE 2019 para o percentual de BDI diferenciado para aquisição de materiais e equipamentos</t>
  </si>
  <si>
    <t>2) Preço praticado em TABELA REFERENCIAL DE PREÇOS DE PROJETOS Edição 2018 Revisão 00 PROJETO DE DELEGACIAS DE POLÍCIA  (preço de venda já incluso o BDI).</t>
  </si>
  <si>
    <t>3) Preços Adotados:</t>
  </si>
  <si>
    <t>3.1) Foram adotados preços de mercado, conforme mapa de preços, nos casos da ausência do insumo ou serviços nas tabelas de referência.</t>
  </si>
  <si>
    <t>4) Encargos Sociais: Variáveis, conforme apropriação da mão de obra (horista/mensalista), limitado aos percentuais adotados nas respectivas tabelas de referência.</t>
  </si>
  <si>
    <r>
      <t xml:space="preserve">5) Preço de tabela do DER acrescido do BDI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. </t>
    </r>
  </si>
  <si>
    <r>
      <t xml:space="preserve">6) Preço de tabela do SCORIO acrescido do BDI </t>
    </r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. </t>
    </r>
  </si>
  <si>
    <t xml:space="preserve"> 7) k2 - Despesas Gerais de acordo com o TAC - Termo de Ajustamento de Conduta</t>
  </si>
  <si>
    <t>CONTRATAÇÃO DE SERVIÇOS TÉCNICOS ESPECIALIZADOS PARA ELABORAÇÃO DE PROJETOS EXECUTIVOS ,  DA 1ª DR VITÓRIA NO MUNICÍPIO DE VITÓRIA/ES
TOMADA DE PREÇO Nº 001/2020</t>
  </si>
  <si>
    <t>TOMADA DE PREÇO Nº 001/2020 - CRONOGRAMA FÍSICO - FINANCEIRO</t>
  </si>
  <si>
    <t>ITEM</t>
  </si>
  <si>
    <t>SERVIÇO</t>
  </si>
  <si>
    <t>VALORES DO ITEM</t>
  </si>
  <si>
    <t>EVOLUÇÃO DOS SERVIÇOS</t>
  </si>
  <si>
    <t>R$</t>
  </si>
  <si>
    <t>%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</si>
  <si>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</si>
  <si>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</si>
  <si>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</si>
  <si>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</si>
  <si>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</si>
  <si>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</si>
  <si>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</si>
  <si>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</si>
  <si>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</si>
  <si>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</si>
  <si>
    <t>11º Mês</t>
  </si>
  <si>
    <t>12º Mês</t>
  </si>
  <si>
    <t>PLANILHA ORÇAMENTÁRIA</t>
  </si>
  <si>
    <t>DESPESAS GERAIS</t>
  </si>
  <si>
    <t>TOTAL GERAL</t>
  </si>
  <si>
    <t xml:space="preserve"> VALOR DO SERVIÇO EXECUTADO NO MÊS</t>
  </si>
  <si>
    <t>PORCENTAGEM</t>
  </si>
  <si>
    <t xml:space="preserve">VALOR ACUMULADO DOS SERVIÇOS EXECUTADOS </t>
  </si>
  <si>
    <t>PORCENTAGEM ACUMULADO</t>
  </si>
  <si>
    <t>OBJETO: CONTRATAÇÃO DE SERVIÇOS TÉCNICOS ESPECIALIZADOS PARA ELABORAÇÃO DE PROJETOS EXECUTIVOS ,  DA 1ª DR VITÓRIA NO MUNICÍPIO DE VITÓRIA/ES.</t>
  </si>
  <si>
    <t>R$ 89.748,68 (Oitenta e nove mil setecentos e quarenta e oito reais e sessenta e oito centavos),</t>
  </si>
  <si>
    <t xml:space="preserve">PLANILHA ORÇAMENTÁRIA DE PREÇOS UNITÁRIOS </t>
  </si>
  <si>
    <t>Nº</t>
  </si>
  <si>
    <t>VALORES ATUAIS</t>
  </si>
  <si>
    <t>MEDIÇÃO 01</t>
  </si>
  <si>
    <t>EXECUTADOS ACUMULADOS</t>
  </si>
  <si>
    <t>À EXECUTAR</t>
  </si>
  <si>
    <t>Itens</t>
  </si>
  <si>
    <t>Discriminação</t>
  </si>
  <si>
    <t>Unid</t>
  </si>
  <si>
    <t>Qtde</t>
  </si>
  <si>
    <t>Valor Unitário</t>
  </si>
  <si>
    <t>Total</t>
  </si>
  <si>
    <t>Qt</t>
  </si>
  <si>
    <t>Preço total</t>
  </si>
  <si>
    <t>VALOR CONTRATADO</t>
  </si>
  <si>
    <t>ACUMULADO TOTAL</t>
  </si>
  <si>
    <t>SALDO A EXECUTAR</t>
  </si>
  <si>
    <t>DESCRIÇÃO DO ÍTEM</t>
  </si>
  <si>
    <t>MEDIÇÃO 02</t>
  </si>
  <si>
    <t>MEDIÇÃO 03</t>
  </si>
  <si>
    <t>MEDIÇÃO 04</t>
  </si>
  <si>
    <t>ACUMULADO</t>
  </si>
  <si>
    <t>TOTAL</t>
  </si>
  <si>
    <t>GOVERNO DO ESTADO DO ESPÍRITO SANTO
POLÍCIA CIVIL/ES</t>
  </si>
  <si>
    <t>O INÍCIO</t>
  </si>
  <si>
    <t>PRAZO EXECUÇÃO (DIAS)</t>
  </si>
  <si>
    <t>PRAZO VIGÊNCIA(DIAS)</t>
  </si>
  <si>
    <t>DATA</t>
  </si>
  <si>
    <t>SUB TOTAL 01</t>
  </si>
  <si>
    <t>SUB TOTAL 02</t>
  </si>
  <si>
    <t>SUB TOTAL 03</t>
  </si>
  <si>
    <t>SUB TOTAL 04</t>
  </si>
  <si>
    <t>PERÍODO</t>
  </si>
  <si>
    <t xml:space="preserve">MEDIÇÃO  </t>
  </si>
  <si>
    <t xml:space="preserve">Total: </t>
  </si>
  <si>
    <t>Arquitura (50 %)</t>
  </si>
  <si>
    <t>No periodo</t>
  </si>
  <si>
    <t>Acumulado</t>
  </si>
  <si>
    <t xml:space="preserve">QUANTIDADE </t>
  </si>
  <si>
    <t>Notas:</t>
  </si>
  <si>
    <t xml:space="preserve">Hidros-sanitário (10%) - Vist. c/ Parecer </t>
  </si>
  <si>
    <t xml:space="preserve">Elétrico (10%)- Vist. c/ Parecer </t>
  </si>
  <si>
    <t>TOTAL EXECU-TADO</t>
  </si>
  <si>
    <t xml:space="preserve">Estrutural (20%)- Vist.a c/ Parecer </t>
  </si>
  <si>
    <t>TABELA PREÇOS 2021 - LABOR/DER-ES</t>
  </si>
  <si>
    <t xml:space="preserve">Total </t>
  </si>
  <si>
    <t>UND</t>
  </si>
  <si>
    <t>Área Pavimento térreo (1º pavimento)</t>
  </si>
  <si>
    <t xml:space="preserve">Área Pavimento Superior (2º pavimento) </t>
  </si>
  <si>
    <t xml:space="preserve">Divisão proporcional de 100% do serviço a executar  </t>
  </si>
  <si>
    <t>Serviço executado. Ver Produto do serviço no Anexo 02</t>
  </si>
  <si>
    <t xml:space="preserve">mês </t>
  </si>
  <si>
    <r>
      <t xml:space="preserve">Ver produto do serviço fornecido e entregue no </t>
    </r>
    <r>
      <rPr>
        <b/>
        <sz val="9"/>
        <rFont val="Arial"/>
        <family val="2"/>
      </rPr>
      <t xml:space="preserve">Anexo 01 : </t>
    </r>
    <r>
      <rPr>
        <sz val="9"/>
        <rFont val="Arial"/>
        <family val="2"/>
      </rPr>
      <t xml:space="preserve">Levantamento Cadastral de Arquitetura e Relatório de Vistoria </t>
    </r>
  </si>
  <si>
    <t>Área da Edificação Existente: Ver quadro de áreas do levantamento de Arquitetura - Anexo 02</t>
  </si>
  <si>
    <t xml:space="preserve">Área total da edificação </t>
  </si>
  <si>
    <t>Serviços executados até esta medição</t>
  </si>
  <si>
    <t xml:space="preserve"> Arquitura (A)
</t>
  </si>
  <si>
    <t>Relat. Vistoria (Hidrossan., Elét, Estrut) - (B)</t>
  </si>
  <si>
    <t>TOTAL EXECUTADO 
 (A+B)  (m²)</t>
  </si>
  <si>
    <t>Total Contrato (A)</t>
  </si>
  <si>
    <t>Valor  Liquido= (A-B)</t>
  </si>
  <si>
    <t>Total Item 4 (B)</t>
  </si>
  <si>
    <t>Vtl= Valor total  do contrato excluído o item 4</t>
  </si>
  <si>
    <t>V1l = Valor  da 1ª Medição excluído item 4</t>
  </si>
  <si>
    <r>
      <t xml:space="preserve">F  =Fator ou percentual de produtividade realizada até a 
1ª Medição </t>
    </r>
    <r>
      <rPr>
        <b/>
        <sz val="10"/>
        <rFont val="Arial"/>
        <family val="2"/>
      </rPr>
      <t xml:space="preserve">= 100*(V1l /Vtl) </t>
    </r>
  </si>
  <si>
    <t xml:space="preserve">           GOVERNO DO ESTADO DO ESPÍRITO SANTO
POLÍCIA CIVIL/ES</t>
  </si>
  <si>
    <t xml:space="preserve">           POLÍCIA CIVIL </t>
  </si>
  <si>
    <r>
      <t xml:space="preserve">            </t>
    </r>
    <r>
      <rPr>
        <b/>
        <sz val="12"/>
        <rFont val="Calibri"/>
        <family val="2"/>
        <scheme val="minor"/>
      </rPr>
      <t>OBJETO:</t>
    </r>
    <r>
      <rPr>
        <sz val="12"/>
        <rFont val="Calibri"/>
        <family val="2"/>
        <scheme val="minor"/>
      </rPr>
      <t xml:space="preserve"> ELABORAÇÃO DE PROJETOS EXECUTIVOS DE REGULARIZAÇÃO E REFORMA DA
                            1ª DR VITÓRIA NO MUNICÍPIO DE VITÓRIA/ES - CONT Nº  100/2020 E  TP Nº 001/2020</t>
    </r>
  </si>
  <si>
    <r>
      <t xml:space="preserve">          </t>
    </r>
    <r>
      <rPr>
        <b/>
        <sz val="12"/>
        <rFont val="Calibri"/>
        <family val="2"/>
        <scheme val="minor"/>
      </rPr>
      <t>CONTRATADA:</t>
    </r>
    <r>
      <rPr>
        <sz val="12"/>
        <rFont val="Calibri"/>
        <family val="2"/>
        <scheme val="minor"/>
      </rPr>
      <t xml:space="preserve"> DAN ENGENHARIA PROJETOS E CONSULTORIA LTDA.</t>
    </r>
  </si>
  <si>
    <t xml:space="preserve">1- Área da edificação existente consta no levantamento de  Arquitetura (Anexo 02). Quantidade levantada através do levantamento de medidas efetuados no local e atráves do sistema de desenho em cad que fornece a área da arquitetura. </t>
  </si>
  <si>
    <t>2- O percentual previsto para os levantamentos no local das instalações existentes por especialidade foram distribuida em: 
a)  Arquitetura: 60% da área total da edificação; 
b)  Relat. de vistoria: Hidrossanitário, Elétrico e Estrutura: 40% da área total da edificação;</t>
  </si>
  <si>
    <t xml:space="preserve">3- Os relatórios de vistorias referente à situação das instalações de especialidades descrita na alínea "b", serão efetuados após aprovação do estudo preliminar do lay-out /arquitetura para a  reforma e ampliação do prédio existente.  Será fornecido relatório de vistoria, a ser elaborado pelos profissionais de cada especialidade referente aos projetos complementares, contendo as informações pertinentes, para fim de avaliação geral da situação existente e nível de intervenção de obra pretendida. </t>
  </si>
  <si>
    <t>PRAZO VIGÊNCIA/ DATA CONCLUSÃO</t>
  </si>
  <si>
    <t xml:space="preserve">MEMÓRIA DE CÁLCULO - 1ª  MEDIÇÃO </t>
  </si>
  <si>
    <t>Medir na 2ª medição</t>
  </si>
  <si>
    <t xml:space="preserve">Total executado até a 2ª medição: </t>
  </si>
  <si>
    <t>1ª medição</t>
  </si>
  <si>
    <t>Serviço executado . Ver Produto do serviço no Anexo 02 da 1ª medição</t>
  </si>
  <si>
    <t>Acumulado até a medição anterior:</t>
  </si>
  <si>
    <t>Área construída  da Edificação Existente</t>
  </si>
  <si>
    <t xml:space="preserve">Total construída= </t>
  </si>
  <si>
    <t>Área Pavimento térreo (1º pavimento)=</t>
  </si>
  <si>
    <t>Área Pavimento Superior (2º pavimento)=</t>
  </si>
  <si>
    <t>Área do compartimento reservatórios - Cobertura</t>
  </si>
  <si>
    <t>Área total a computar para fim de medição</t>
  </si>
  <si>
    <t xml:space="preserve">Área técnica de reservatórios não é computada no levantamento cadastral de arquitetura, mas tal área foi motivo de levantamento  e vistorias/relatórios referente as instalações existentes (disciplinas complementares) = (6,05x 4,55 )=27,52m², além de ter sido efetuado o relatório sobre as instalações de ar condicionado.  Medido para este item até o limite do quantitativo contratadode 750m² , resultando no quantitatvo de  25,32m². </t>
  </si>
  <si>
    <r>
      <t xml:space="preserve">Vtl= Valor total  do </t>
    </r>
    <r>
      <rPr>
        <b/>
        <sz val="10"/>
        <rFont val="Arial"/>
        <family val="2"/>
      </rPr>
      <t>contrato excluído o item 4</t>
    </r>
  </si>
  <si>
    <t>V1l = Valor  da 2ª Medição excluído item 4</t>
  </si>
  <si>
    <r>
      <rPr>
        <b/>
        <sz val="9"/>
        <rFont val="Arial"/>
        <family val="2"/>
      </rPr>
      <t>Notas:</t>
    </r>
    <r>
      <rPr>
        <sz val="9"/>
        <rFont val="Arial"/>
        <family val="2"/>
      </rPr>
      <t xml:space="preserve">
1- Área da edificação existente consta no levantamento de  Arquitetura e Relatório de Vistoria de arquitetura (Anexo 01). Quantidade levantada através do levantamento de medidas efetuados no local e atráves do sistema de desenho em cad que fornece a área da arquitetura. 
2- Produtos gerados:
a) Levantamento cadastral de arquitetura - Anexo 01
b) Relatório de Vistoria de arquitetura - Anexo 02
</t>
    </r>
  </si>
  <si>
    <r>
      <t xml:space="preserve">F  =Fator ou percentual de produtividade realizada na 
2ª Medição </t>
    </r>
    <r>
      <rPr>
        <b/>
        <sz val="10"/>
        <rFont val="Arial"/>
        <family val="2"/>
      </rPr>
      <t xml:space="preserve">= 100*(V1l /Vtl) </t>
    </r>
  </si>
  <si>
    <t>Acumulado total até a 2ª medição</t>
  </si>
  <si>
    <t>Relat. Vistoria (Hidrossan., Inc,  Elet/outros, Estrut, climat) - (B)</t>
  </si>
  <si>
    <t>MEMÓRIA DE CÁLCULO - 2ª  MEDIÇÃO  (01/04/2021 A 31/05/2021)</t>
  </si>
  <si>
    <r>
      <rPr>
        <b/>
        <sz val="9"/>
        <rFont val="Arial"/>
        <family val="2"/>
      </rPr>
      <t>Notas:</t>
    </r>
    <r>
      <rPr>
        <sz val="9"/>
        <rFont val="Arial"/>
        <family val="2"/>
      </rPr>
      <t xml:space="preserve">
1- Área da edificação existente consta no levantamento de  Arquitetura (Anexo 01). Quantidade levantada através do levantamento de medidas efetuados no local e atráves do sistema de desenho em cad que fornece a área da arquitetura. A  área do compartimento reservatório na cobertura é de  (6,05x 4,55)=27,52m², Ver planta da cobertura ( Anexo 01), tendo sido medido para este item até o total previsto de quantitativo no item. 
2- Produtos gerados e constam: Anexo 03 - Relatórios de Vistorias sobre a situação das instalações existentes referentes as seguintes disciplinas: 
a) Instalações hidrosanitárias e de combate a incendio: </t>
    </r>
    <r>
      <rPr>
        <b/>
        <sz val="9"/>
        <rFont val="Arial"/>
        <family val="2"/>
      </rPr>
      <t>Anexo 3a</t>
    </r>
    <r>
      <rPr>
        <sz val="9"/>
        <rFont val="Arial"/>
        <family val="2"/>
      </rPr>
      <t xml:space="preserve">
b) Instalações  Elétricas,  de Cabeamento Estruturado, Alarme, CFTV e SPDA : </t>
    </r>
    <r>
      <rPr>
        <b/>
        <sz val="9"/>
        <rFont val="Arial"/>
        <family val="2"/>
      </rPr>
      <t xml:space="preserve">Anexo 3b 
</t>
    </r>
    <r>
      <rPr>
        <sz val="9"/>
        <rFont val="Arial"/>
        <family val="2"/>
      </rPr>
      <t xml:space="preserve">c) Estrutura da edificação: </t>
    </r>
    <r>
      <rPr>
        <b/>
        <sz val="9"/>
        <rFont val="Arial"/>
        <family val="2"/>
      </rPr>
      <t>Anexo 3c</t>
    </r>
    <r>
      <rPr>
        <sz val="9"/>
        <rFont val="Arial"/>
        <family val="2"/>
      </rPr>
      <t xml:space="preserve">
d) Climatização: Anexo 3d </t>
    </r>
  </si>
  <si>
    <t>3ª medição</t>
  </si>
  <si>
    <t>SP 01</t>
  </si>
  <si>
    <t>SP 02</t>
  </si>
  <si>
    <t>SP 03</t>
  </si>
  <si>
    <t>SP 04</t>
  </si>
  <si>
    <t>Total Contratado</t>
  </si>
  <si>
    <t>1º Pavimento</t>
  </si>
  <si>
    <t>2º Pavimento</t>
  </si>
  <si>
    <t xml:space="preserve">Nota: 
1- Medição de Praxe = Área total construída do Projeto Excutivo de Arquitetura
</t>
  </si>
  <si>
    <t xml:space="preserve">A3 = Área do 1º pavimento da edificação </t>
  </si>
  <si>
    <t xml:space="preserve">A urb = </t>
  </si>
  <si>
    <t>Acumulado total até a 3ª medição</t>
  </si>
  <si>
    <t>Acumulado até a medição anterior (1ª medição) :</t>
  </si>
  <si>
    <t>Medido na 2ª medição</t>
  </si>
  <si>
    <t>Acumulado até a medição anterior (1ª Medição):</t>
  </si>
  <si>
    <t>Prédio da Delegacia</t>
  </si>
  <si>
    <t xml:space="preserve">Área técnica de reservatórios que recebeu projeto de estrutura de concreto armado para nova laje de apoio dos reservátórios) = (6,05x 4,55 )=27,52m², além de ter sido executado o projeto de elemento como  efetuado o relatório sobre as instalações de ar condicionado.  Medido para este item até o limite do quantitativo contratadode 750m² , resultando no quantitatvo de  25,32m². </t>
  </si>
  <si>
    <t xml:space="preserve">Parte da edificação em dois pavimento:  1º e 2º Pavimento: </t>
  </si>
  <si>
    <t xml:space="preserve">Total  a medir </t>
  </si>
  <si>
    <t>Esta área da edificação necessitou ser totalmente redimensionada com uma nova estrutura de concreto armado e nova fundação. A parede frontal existente foi mantida porém esta recebendo reforço estrutural,  sendo executado lajes de piso. Também está sendo projetado estrtura e fundação de lementos externos a edificação como: subestação, casa de lixo, muros e muretas, etc.  Para a solução proposta foi necessário  modelar todo o projeto da estrutura/fundação existente esta parte do prédio, efetuar investigações no local para verificar e comparar o projeto original da estrutura com a situação efetivamente executada,  efetuar  todo o cálculo estrutura na condição existente para avaliar a necessidade ou não dos reforços estruturais ou de nova estrtura e fundação.</t>
  </si>
  <si>
    <t xml:space="preserve">Nota: 
1- Medição de Praxe = Área da edificação que foi totalmente modelada e redimensionada para efetuar os reforço em estrtura de concreto armado e de novas estruturas de concreto armado. 
</t>
  </si>
  <si>
    <t>Parte da edificação em um  pavimento:  1º pavimento:</t>
  </si>
  <si>
    <t>Projeto é composto de:</t>
  </si>
  <si>
    <t xml:space="preserve">Relatório de Análise de Risco do SPDA  (60%) </t>
  </si>
  <si>
    <t xml:space="preserve">Total contratado </t>
  </si>
  <si>
    <t xml:space="preserve"> Total da Area de Projeto =   Área de Cobertura da Edificação.</t>
  </si>
  <si>
    <t xml:space="preserve">TOTAL EXECU-TADO </t>
  </si>
  <si>
    <t xml:space="preserve">Nota: 
1- Medição de Praxe = Área total construída do Projeto Executivo de Arquitetura
</t>
  </si>
  <si>
    <t xml:space="preserve">A1 = Area total do terreno </t>
  </si>
  <si>
    <t xml:space="preserve">A2 = Área da calçada </t>
  </si>
  <si>
    <t>Aup =Área de urbanização e paisagismo = (A1 + A2 ) - A3=</t>
  </si>
  <si>
    <t xml:space="preserve">A1 + A2 = </t>
  </si>
  <si>
    <t>L(m)</t>
  </si>
  <si>
    <t>C(m)</t>
  </si>
  <si>
    <t>Área executada  (m²)</t>
  </si>
  <si>
    <t>GOVERNO DO ESTADO DO ESPÍRITO SANTO</t>
  </si>
  <si>
    <r>
      <t xml:space="preserve">            </t>
    </r>
    <r>
      <rPr>
        <b/>
        <sz val="12"/>
        <rFont val="Arial"/>
        <family val="2"/>
      </rPr>
      <t>OBJETO:</t>
    </r>
    <r>
      <rPr>
        <sz val="12"/>
        <rFont val="Arial"/>
        <family val="2"/>
      </rPr>
      <t xml:space="preserve"> ELABORAÇÃO DE PROJETOS EXECUTIVOS DE REGULARIZAÇÃO E REFORMA DA
                            1ª DR VITÓRIA NO MUNICÍPIO DE VITÓRIA/ES - CONT Nº  100/2020 E  TP Nº 001/2020</t>
    </r>
  </si>
  <si>
    <r>
      <t xml:space="preserve">          </t>
    </r>
    <r>
      <rPr>
        <b/>
        <sz val="12"/>
        <rFont val="Arial"/>
        <family val="2"/>
      </rPr>
      <t>CONTRATADA:</t>
    </r>
    <r>
      <rPr>
        <sz val="12"/>
        <rFont val="Arial"/>
        <family val="2"/>
      </rPr>
      <t xml:space="preserve"> DAN ENGENHARIA PROJETOS E CONSULTORIA LTDA.</t>
    </r>
  </si>
  <si>
    <r>
      <t xml:space="preserve">Serviço executado . Ver Produto do serviço no </t>
    </r>
    <r>
      <rPr>
        <b/>
        <sz val="12"/>
        <rFont val="Arial"/>
        <family val="2"/>
      </rPr>
      <t xml:space="preserve">Anexo 04-A  </t>
    </r>
    <r>
      <rPr>
        <sz val="12"/>
        <rFont val="Arial"/>
        <family val="2"/>
      </rPr>
      <t>da 3ª medição</t>
    </r>
  </si>
  <si>
    <r>
      <t xml:space="preserve">Serviço executado . Ver Produto do serviço no </t>
    </r>
    <r>
      <rPr>
        <b/>
        <sz val="12"/>
        <rFont val="Arial"/>
        <family val="2"/>
      </rPr>
      <t xml:space="preserve">Anexo 04-A </t>
    </r>
    <r>
      <rPr>
        <sz val="12"/>
        <rFont val="Arial"/>
        <family val="2"/>
      </rPr>
      <t xml:space="preserve"> da </t>
    </r>
    <r>
      <rPr>
        <b/>
        <sz val="12"/>
        <rFont val="Arial"/>
        <family val="2"/>
      </rPr>
      <t xml:space="preserve"> 3ª medição</t>
    </r>
  </si>
  <si>
    <r>
      <rPr>
        <b/>
        <sz val="12"/>
        <rFont val="Arial"/>
        <family val="2"/>
      </rPr>
      <t>Notas:</t>
    </r>
    <r>
      <rPr>
        <sz val="12"/>
        <rFont val="Arial"/>
        <family val="2"/>
      </rPr>
      <t xml:space="preserve">
1- Área da edificação existente consta no levantamento de  Arquitetura (Anexo 01). Quantidade levantada através do levantamento de medidas efetuados no local e atráves do sistema de desenho em cad que fornece a área da arquitetura. A  área do compartimento reservatório na cobertura é de  (6,05x 4,55)=27,52m², Ver planta da cobertura ( Anexo 01), tendo sido medido para este item até o total previsto de quantitativo no item. 
2- Produtos gerados e constam: Anexo 03 - Relatórios de Vistorias sobre a situação das instalações existentes referentes as seguintes disciplinas: 
a) Instalações hidrosanitárias e de combate a incendio: </t>
    </r>
    <r>
      <rPr>
        <b/>
        <sz val="12"/>
        <rFont val="Arial"/>
        <family val="2"/>
      </rPr>
      <t>Anexo 3a</t>
    </r>
    <r>
      <rPr>
        <sz val="12"/>
        <rFont val="Arial"/>
        <family val="2"/>
      </rPr>
      <t xml:space="preserve">
b) Instalações  Elétricas,  de Cabeamento Estruturado, Alarme, CFTV e SPDA : </t>
    </r>
    <r>
      <rPr>
        <b/>
        <sz val="12"/>
        <rFont val="Arial"/>
        <family val="2"/>
      </rPr>
      <t xml:space="preserve">Anexo 3b 
</t>
    </r>
    <r>
      <rPr>
        <sz val="12"/>
        <rFont val="Arial"/>
        <family val="2"/>
      </rPr>
      <t xml:space="preserve">c) Estrutura da edificação: </t>
    </r>
    <r>
      <rPr>
        <b/>
        <sz val="12"/>
        <rFont val="Arial"/>
        <family val="2"/>
      </rPr>
      <t>Anexo 3c</t>
    </r>
    <r>
      <rPr>
        <sz val="12"/>
        <rFont val="Arial"/>
        <family val="2"/>
      </rPr>
      <t xml:space="preserve">
d) Climatização: Anexo 3d </t>
    </r>
  </si>
  <si>
    <r>
      <t xml:space="preserve">Serviço executado . Ver Produto do serviço no </t>
    </r>
    <r>
      <rPr>
        <b/>
        <sz val="12"/>
        <rFont val="Arial"/>
        <family val="2"/>
      </rPr>
      <t>Anexo 04-B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</si>
  <si>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02-B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</si>
  <si>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04-C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</si>
  <si>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04-D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</si>
  <si>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04-F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</si>
  <si>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04-G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</si>
  <si>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04-H</t>
    </r>
    <r>
      <rPr>
        <sz val="12"/>
        <rFont val="Arial"/>
        <family val="2"/>
      </rPr>
      <t xml:space="preserve"> da 3ª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</si>
  <si>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02</t>
    </r>
    <r>
      <rPr>
        <b/>
        <sz val="12"/>
        <color rgb="FFFF0000"/>
        <rFont val="Arial"/>
        <family val="2"/>
      </rPr>
      <t xml:space="preserve">-I </t>
    </r>
    <r>
      <rPr>
        <sz val="12"/>
        <rFont val="Arial"/>
        <family val="2"/>
      </rPr>
      <t>da 3ª medição</t>
    </r>
  </si>
  <si>
    <r>
      <t>1- Medição de Praxe =</t>
    </r>
    <r>
      <rPr>
        <b/>
        <sz val="12"/>
        <rFont val="Arial"/>
        <family val="2"/>
      </rPr>
      <t>A urb= (A1-A2)-A3</t>
    </r>
    <r>
      <rPr>
        <sz val="12"/>
        <rFont val="Arial"/>
        <family val="2"/>
      </rPr>
      <t xml:space="preserve"> , sendo  
Área total do terreno somado a área do passeio/calçada  subtraídas  da área construida do 1º pavimento da edificação, resultará na área livre do terreno a urbanizar e ou ajardinar. . 
</t>
    </r>
  </si>
  <si>
    <r>
      <rPr>
        <b/>
        <sz val="12"/>
        <rFont val="Arial"/>
        <family val="2"/>
      </rPr>
      <t>Vtl=</t>
    </r>
    <r>
      <rPr>
        <sz val="12"/>
        <rFont val="Arial"/>
        <family val="2"/>
      </rPr>
      <t xml:space="preserve"> Valor total  do </t>
    </r>
    <r>
      <rPr>
        <b/>
        <sz val="12"/>
        <rFont val="Arial"/>
        <family val="2"/>
      </rPr>
      <t>contrato excluído o item 4</t>
    </r>
  </si>
  <si>
    <r>
      <rPr>
        <b/>
        <sz val="12"/>
        <rFont val="Arial"/>
        <family val="2"/>
      </rPr>
      <t xml:space="preserve">V1l </t>
    </r>
    <r>
      <rPr>
        <sz val="12"/>
        <rFont val="Arial"/>
        <family val="2"/>
      </rPr>
      <t>= Valor  da 3ª Medição excluído item 4</t>
    </r>
  </si>
  <si>
    <r>
      <rPr>
        <b/>
        <sz val="12"/>
        <rFont val="Arial"/>
        <family val="2"/>
      </rPr>
      <t xml:space="preserve">F </t>
    </r>
    <r>
      <rPr>
        <sz val="12"/>
        <rFont val="Arial"/>
        <family val="2"/>
      </rPr>
      <t xml:space="preserve"> =Fator ou percentual de produtividade realizada na 
3ª Medição </t>
    </r>
    <r>
      <rPr>
        <b/>
        <sz val="12"/>
        <rFont val="Arial"/>
        <family val="2"/>
      </rPr>
      <t xml:space="preserve">= 100*(V1l /Vtl) </t>
    </r>
  </si>
  <si>
    <r>
      <rPr>
        <b/>
        <sz val="12"/>
        <rFont val="Arial"/>
        <family val="2"/>
      </rPr>
      <t>Notas:</t>
    </r>
    <r>
      <rPr>
        <sz val="12"/>
        <rFont val="Arial"/>
        <family val="2"/>
      </rPr>
      <t xml:space="preserve">
1- Área da edificação existente consta no levantamento de  Arquitetura e Relatório de Vistoria de arquitetura (Anexo 01). Quantidade levantada através do levantamento de medidas efetuados no local e atráves do sistema de desenho em cad que fornece a área da arquitetura. 
2- Produtos gerados:
a) Levantamento cadastral de arquitetura - Anexo 01
b) Relatório de Vistoria de arquitetura - Anexo 02
</t>
    </r>
  </si>
  <si>
    <t>Total Contra-tado</t>
  </si>
  <si>
    <t>Projeto  para implanta-ção do  Sistema (40%)</t>
  </si>
  <si>
    <t xml:space="preserve">Hall Espera= </t>
  </si>
  <si>
    <t xml:space="preserve">Area de intervenção do proieto: </t>
  </si>
  <si>
    <t>Recepção=</t>
  </si>
  <si>
    <t xml:space="preserve">Circulação Público= </t>
  </si>
  <si>
    <t xml:space="preserve">Circulação Funcionários= </t>
  </si>
  <si>
    <t xml:space="preserve">Circulação 01= </t>
  </si>
  <si>
    <t xml:space="preserve">Circulação 02= </t>
  </si>
  <si>
    <t xml:space="preserve">Circulação/Receção de Ocorrência/PM= </t>
  </si>
  <si>
    <t>Embarque e desembarque=</t>
  </si>
  <si>
    <t>Fachada  Frontal 1 (19,2m de comprimento  x 2m de largura para faixa de proteção/observação)</t>
  </si>
  <si>
    <t xml:space="preserve">Pátio Descoberto/ Fachada Lateral  </t>
  </si>
  <si>
    <t xml:space="preserve">Total 1º pavimento </t>
  </si>
  <si>
    <t xml:space="preserve">Espera= </t>
  </si>
  <si>
    <t xml:space="preserve">Circulação Geral= </t>
  </si>
  <si>
    <t xml:space="preserve">Área Técnica </t>
  </si>
  <si>
    <t xml:space="preserve">Total 2º pavimento </t>
  </si>
  <si>
    <t>Total 1º + 2º Pavimento</t>
  </si>
  <si>
    <t>Fachada  Frontal/Lateral  2 (7,80 m de comprimento  x 4 de largura média de recuo do prédio)</t>
  </si>
  <si>
    <r>
      <t>287,16 m2 (área do segundo pavimento)</t>
    </r>
    <r>
      <rPr>
        <sz val="11"/>
        <color theme="1"/>
        <rFont val="Calibri"/>
        <family val="2"/>
        <scheme val="minor"/>
      </rPr>
      <t>.</t>
    </r>
  </si>
  <si>
    <t xml:space="preserve">Quantidade a ser medida na 3ª medição =  até o limite da  área contratada </t>
  </si>
  <si>
    <r>
      <t xml:space="preserve">1- Medição de Praxe = Área de intervenção do projeto ( ver </t>
    </r>
    <r>
      <rPr>
        <b/>
        <sz val="12"/>
        <rFont val="Arial"/>
        <family val="2"/>
      </rPr>
      <t xml:space="preserve">croqui Anexo 4I-a e b) </t>
    </r>
  </si>
  <si>
    <t>MEMÓRIA DE CÁLCULO - 3ª  MEDIÇÃO  (01/06/2021 A 30/09/2021)</t>
  </si>
  <si>
    <r>
      <t xml:space="preserve">Serviço executado . Ver Produto do serviço no </t>
    </r>
    <r>
      <rPr>
        <b/>
        <sz val="12"/>
        <rFont val="Arial"/>
        <family val="2"/>
      </rPr>
      <t>Anexo 04-E</t>
    </r>
    <r>
      <rPr>
        <sz val="12"/>
        <rFont val="Arial"/>
        <family val="2"/>
      </rPr>
      <t xml:space="preserve"> da 3ª medição</t>
    </r>
  </si>
  <si>
    <r>
      <t xml:space="preserve">Total Executado = 60%  Área de Cobertura da Edificação . 
</t>
    </r>
    <r>
      <rPr>
        <b/>
        <sz val="12"/>
        <rFont val="Arial"/>
        <family val="2"/>
      </rPr>
      <t>Nota:</t>
    </r>
    <r>
      <rPr>
        <sz val="12"/>
        <rFont val="Arial"/>
        <family val="2"/>
      </rPr>
      <t xml:space="preserve"> O resultado do Relatório de Análise de Risco indicou pela não necessidade de implantação do Sistema de SPDA.</t>
    </r>
  </si>
  <si>
    <t>1- Medição de Praxe = 
Relatório de Análise de Risco do SPDA  e Projeto  Caso o Relatório seja favorável a implantação do referido sistema = 
  = Área total da Cobertura da Edificação= a área de projeção da edificação do  (ver  quadro de área do projeto de arquitetura executivo). O resultado do Relatório de Análise de Risco indicou pela não necessidade de implantação do Sistema de SPDA, e conforme norma o projeto de SPDA inclui o item de fundamental importância  que é o relatório de análise de  risco, motivo esse que está sendo considerado que a quantidade a ser medida representa o percentual de 60% do total da area levantada.</t>
  </si>
  <si>
    <t>Esta área da edificação existente necessitou de estudo e reavaliação de toda a  estrutura de concreto armado, sendo efetuado reforços estruturais para receber as novas cargas de projeto dos  ambientes cujos usos foram alterados (sobrecarga maior que o projeto original) , tais como:almoxarifados/arquivos, novos sanitários, etc.
Também foram necessarios elaborar  adequações e reforços estruturais envolvendo  intervenções de projeto para aberuras de Shafts, furos em laje e vigas para passem de tubulações,  e para solucionar problemas relacionados as deformações em  peças estruturais que impactaram em trincas  e manifestações patologicas de descolamentos de estrutura com alvenarias.   Para a solução proposta foi necessário  modelar todo o projeto da estrutura/fundação existente esta parte do prédio, efetuar investigações no local para verificar e comparar o projeto original da estrutura com a situação efetivamente executada,  efetuar  todo o cálculo estrutural na condição existente para avaliar a necessidade ou não dos reforços estruturais ou de nova estrutura e fundação.</t>
  </si>
  <si>
    <t xml:space="preserve">Cobertura  do 2º pavimento - área do reservatório (reforços de paredes e nova laje de apoio da area dos reservatórios), platibandas etc </t>
  </si>
  <si>
    <t xml:space="preserve">1- Medição de Praxe 
Área total do terreno somado a área do passeio/calçada  subtraídas  da área construida do 1º pavimento da edificação, resultará na área livre do terreno a urbanizar e ou ajardinar. . 
</t>
  </si>
  <si>
    <t xml:space="preserve">A2(m2)
= C x L </t>
  </si>
  <si>
    <t>Acumulado total até a 4ª medição</t>
  </si>
  <si>
    <r>
      <rPr>
        <b/>
        <sz val="12"/>
        <rFont val="Arial"/>
        <family val="2"/>
      </rPr>
      <t xml:space="preserve">V1l </t>
    </r>
    <r>
      <rPr>
        <sz val="12"/>
        <rFont val="Arial"/>
        <family val="2"/>
      </rPr>
      <t>= Valor  da 4ª Medição excluído item 4</t>
    </r>
  </si>
  <si>
    <r>
      <rPr>
        <b/>
        <sz val="12"/>
        <rFont val="Arial"/>
        <family val="2"/>
      </rPr>
      <t xml:space="preserve">F </t>
    </r>
    <r>
      <rPr>
        <sz val="12"/>
        <rFont val="Arial"/>
        <family val="2"/>
      </rPr>
      <t xml:space="preserve"> =Fator ou percentual de produtividade realizada na 
43ª Medição </t>
    </r>
    <r>
      <rPr>
        <b/>
        <sz val="12"/>
        <rFont val="Arial"/>
        <family val="2"/>
      </rPr>
      <t xml:space="preserve">= 100*(V1l /Vtl) </t>
    </r>
  </si>
  <si>
    <t>MEMÓRIA DE CÁLCULO - 4ª  MEDIÇÃO  (12/09/2021 A 31/10/2021)</t>
  </si>
  <si>
    <r>
      <t xml:space="preserve">Serviço executado . Ver Produto do serviço no </t>
    </r>
    <r>
      <rPr>
        <b/>
        <sz val="12"/>
        <rFont val="Arial"/>
        <family val="2"/>
      </rPr>
      <t>Anexo 3-B</t>
    </r>
    <r>
      <rPr>
        <b/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da 4ª medição</t>
    </r>
  </si>
  <si>
    <r>
      <t xml:space="preserve">Serviço executado . Ver Produto do serviço no </t>
    </r>
    <r>
      <rPr>
        <b/>
        <sz val="12"/>
        <rFont val="Arial"/>
        <family val="2"/>
      </rPr>
      <t>Anexo 3-A</t>
    </r>
    <r>
      <rPr>
        <sz val="12"/>
        <rFont val="Arial"/>
        <family val="2"/>
      </rPr>
      <t xml:space="preserve"> da 4ª medição</t>
    </r>
  </si>
  <si>
    <t xml:space="preserve">Ver Planta de Implantação- ARQ 01/09  e ARQE-DET ESQ 04-04- Constando da Urbanização ( pisos externos e calçada cidadão, detalhes de gradis e muros portões, etc)  e Paisagismo da àrea externa 
Plantas de Detalhes 17, 22 e 23  em A3  - Bancos externos,  Bicicletário, Caa de Lixo  </t>
  </si>
  <si>
    <t>SUB TOTAL 05</t>
  </si>
  <si>
    <t>SUB TOTAL 19</t>
  </si>
  <si>
    <t>SUB TOTAL 06</t>
  </si>
  <si>
    <t>SUB TOTAL 08</t>
  </si>
  <si>
    <t>SUB TOTAL 09</t>
  </si>
  <si>
    <t>SUB TOTAL 10</t>
  </si>
  <si>
    <t>SUB TOTAL 12</t>
  </si>
  <si>
    <t>SUB TOTAL 13</t>
  </si>
  <si>
    <t>SUB TOTAL 14</t>
  </si>
  <si>
    <t>SUB TOTAL 15</t>
  </si>
  <si>
    <t>SUB TOTAL 16</t>
  </si>
  <si>
    <t>SUB TOTAL 17</t>
  </si>
  <si>
    <t>SUB TOTAL 18</t>
  </si>
  <si>
    <t>SUB TOTAL 11</t>
  </si>
  <si>
    <r>
      <t xml:space="preserve">CONTRATADA : </t>
    </r>
    <r>
      <rPr>
        <sz val="11"/>
        <rFont val="Calibri"/>
        <family val="2"/>
        <scheme val="minor"/>
      </rPr>
      <t>VILLA CONSTRUTORA LTDA</t>
    </r>
  </si>
  <si>
    <t>Valor Contratual R$</t>
  </si>
  <si>
    <r>
      <t xml:space="preserve">LOCAL: </t>
    </r>
    <r>
      <rPr>
        <sz val="11"/>
        <rFont val="Calibri"/>
        <family val="2"/>
        <scheme val="minor"/>
      </rPr>
      <t>Avenida Nossa Senhora da Penha, nº. 2.290, Santa Luiza, Vitória - ES</t>
    </r>
  </si>
  <si>
    <t>SUB TOTAL 20</t>
  </si>
  <si>
    <t>SUB TOTAL 07</t>
  </si>
  <si>
    <t>SUB TOTAL 21</t>
  </si>
  <si>
    <t>SUB TOTAL 22</t>
  </si>
  <si>
    <r>
      <t xml:space="preserve">Objeto: </t>
    </r>
    <r>
      <rPr>
        <sz val="11"/>
        <rFont val="Calibri"/>
        <family val="2"/>
        <scheme val="minor"/>
      </rPr>
      <t>CONTRATAÇÃO DE EMPRESA PARA EXECUÇÃO DA OBRA DE SERVIÇOS DE REFORMA E ADEQUAÇÕES, REVITALIZAÇÃO DE FACHADAS DO PRÉDIO DA CENTRAL 01 - PCES- CONTRATO Nº  009/2023 E  CONCORRÊNCIA PÚBLICA Nº 001/2023</t>
    </r>
  </si>
  <si>
    <t>010101</t>
  </si>
  <si>
    <t>Retirada de revestimento antigo em reboco (OBS.: Este serviço depende do item 01.03.03, estimado 60%)</t>
  </si>
  <si>
    <t>010102</t>
  </si>
  <si>
    <t>Retirada de portas e janelas de madeira, inclusive batentes</t>
  </si>
  <si>
    <t>010103</t>
  </si>
  <si>
    <t>Retirada de esquadrias metálicas</t>
  </si>
  <si>
    <t>010104</t>
  </si>
  <si>
    <t>Lixamento de parede com pintura antiga para recebimento de nova camada de tinta impermeabilizante. (obs.: Este serviço depende do item 010303 e sua quantidade foi estimada em 100%)</t>
  </si>
  <si>
    <t>010105</t>
  </si>
  <si>
    <t>Remoção de telha ondulada de fibrocimento, inclusive cumeeira</t>
  </si>
  <si>
    <t>010106</t>
  </si>
  <si>
    <t>Retirada de estrutura em madeira do telhado</t>
  </si>
  <si>
    <t>010107</t>
  </si>
  <si>
    <t>Retirada de grades, gradis, alambrados, cercas e portões</t>
  </si>
  <si>
    <t>010108</t>
  </si>
  <si>
    <t>Retirada de caixa de ar refrigerado, em concreto</t>
  </si>
  <si>
    <t>010109</t>
  </si>
  <si>
    <t>Retirada de toldos existentes</t>
  </si>
  <si>
    <t>010110</t>
  </si>
  <si>
    <t>Remoção de forro de gesso</t>
  </si>
  <si>
    <t>010111</t>
  </si>
  <si>
    <t>Retirada de ar condicionado</t>
  </si>
  <si>
    <t>010112</t>
  </si>
  <si>
    <t>Demolições e retiradas de eletrocalhas, pontos elétricos em geral, aparelhos elétricos, instalações  elétricas, para-raios, telecomunicações e retirada de entulho (01 caçamba estacionária).</t>
  </si>
  <si>
    <t>cj</t>
  </si>
  <si>
    <t>010113</t>
  </si>
  <si>
    <t>Remoção de instalações hidrossanitárias e pluviais em geral, aparelhos e metais sanitários, incluindo prumadas,  caixas de passagem, caixas de esgoto e retirada de entulho (01 caçamba estacionária).</t>
  </si>
  <si>
    <t>010114</t>
  </si>
  <si>
    <t>Remoção de caixa d´água de polietileno, inclusive tubulação de ligação</t>
  </si>
  <si>
    <t>010115</t>
  </si>
  <si>
    <t>Demolição manual de concreto armado (EMOP 05.001.033)</t>
  </si>
  <si>
    <t>m3</t>
  </si>
  <si>
    <t>010116</t>
  </si>
  <si>
    <t>Demolição de alvenaria</t>
  </si>
  <si>
    <t>010117</t>
  </si>
  <si>
    <t>Demolição de piso revestido com cerâmica</t>
  </si>
  <si>
    <t>010118</t>
  </si>
  <si>
    <t>Demolição de revestimento com azulejos</t>
  </si>
  <si>
    <t>010119</t>
  </si>
  <si>
    <t>Demolição manual de concreto simples (EMOP 05.001.001)</t>
  </si>
  <si>
    <t>010120</t>
  </si>
  <si>
    <t>Demolição de concreto armado, com utilização de rompedor pneumático</t>
  </si>
  <si>
    <t>010121</t>
  </si>
  <si>
    <t>Retirada de revestimento antigo em reboco</t>
  </si>
  <si>
    <t>010122</t>
  </si>
  <si>
    <t>Retirada de vidros quebrados</t>
  </si>
  <si>
    <t>010123</t>
  </si>
  <si>
    <t>Remoção de ar condicionado tipo Split (condensadoras, evaporadoras, rede frigorígena, remoção dos suportes dos equipamentos, drenos das evaporadoras recolhimento do gás com destinação adequada)</t>
  </si>
  <si>
    <t>010124</t>
  </si>
  <si>
    <t>Demolicão de impermeabilizacão com manta asfáltica em laje existente, inclusive camada de regularização e proteção mecânica.</t>
  </si>
  <si>
    <t>010125</t>
  </si>
  <si>
    <t>Demolição de chapim de granito</t>
  </si>
  <si>
    <t>010126</t>
  </si>
  <si>
    <t>Corte em alvenaria de bloco cerâmico, com makita e disco diamantado</t>
  </si>
  <si>
    <t>010127</t>
  </si>
  <si>
    <t>Retirada manual de pavimento em paralelepípedos, incluindo empilhamento para reaproveitamento</t>
  </si>
  <si>
    <t>010128</t>
  </si>
  <si>
    <t>Demolição de muro em alvenaria, inclusive estrutura em concreto armado (pilares cintas e vigas)</t>
  </si>
  <si>
    <t>010129</t>
  </si>
  <si>
    <t>Demolição de piso cimentado inclusive lastro de concreto</t>
  </si>
  <si>
    <t>010130</t>
  </si>
  <si>
    <t>Retirada de bancada de pia</t>
  </si>
  <si>
    <t>010131</t>
  </si>
  <si>
    <t>Lixamento de parede com pintura antiga PVA para recebimento de nova camada de tinta</t>
  </si>
  <si>
    <t>010132</t>
  </si>
  <si>
    <t>Demolição de piso granilite</t>
  </si>
  <si>
    <t>010133</t>
  </si>
  <si>
    <t>Retirada de espelho</t>
  </si>
  <si>
    <t>010134</t>
  </si>
  <si>
    <t>Demolição de divisória de granito</t>
  </si>
  <si>
    <t>010135</t>
  </si>
  <si>
    <t>Demolição de piso, soleira, peitoris e escadas em mármore ou granito, exclusive regularização</t>
  </si>
  <si>
    <t>010136</t>
  </si>
  <si>
    <t>Remoção de vidro temperado</t>
  </si>
  <si>
    <t>010137</t>
  </si>
  <si>
    <t>Retirada de divisória tipo painel</t>
  </si>
  <si>
    <t>010138</t>
  </si>
  <si>
    <t>Retirada de rodapé de granito</t>
  </si>
  <si>
    <t>010201</t>
  </si>
  <si>
    <t>Locação de obra com gabarito de madeira</t>
  </si>
  <si>
    <t>010301</t>
  </si>
  <si>
    <t>Projeto Executivo das Fachadas ( ACM, Passarelas e Pórtico de entrada)</t>
  </si>
  <si>
    <t>010302</t>
  </si>
  <si>
    <t>Projeto de Urbanismo (Muros, Calçadas, Canteiros, Acessos)</t>
  </si>
  <si>
    <t>010303</t>
  </si>
  <si>
    <t>Investigação "in loco" com mapeamento fotográfico do revestimento em fachadas</t>
  </si>
  <si>
    <t>02</t>
  </si>
  <si>
    <t>INSTALAÇÃO DO CANTEIRO DE OBRAS</t>
  </si>
  <si>
    <t>020101</t>
  </si>
  <si>
    <t>Rede de esgoto, contendo fossa e filtro, inclusive tubos e conexões de ligação entre caixas, considerando distância de 25m, conforme projeto (1 utilização)</t>
  </si>
  <si>
    <t>020102</t>
  </si>
  <si>
    <t>Rede de água com padrão de entrada d'água diâm. 3/4", conf. espec. CESAN, incl. tubos e conexões para alimentação, distribuição, extravasor e limpeza, cons. o padrão a 25m, conf. projeto (1 utilização)</t>
  </si>
  <si>
    <t>020103</t>
  </si>
  <si>
    <t>Rede de luz, incl. padrão entrada de energia trifás., cabo de ligação até barracões, quadro de distrib., disj. e chave de força (quando necessário), cons. 20m entre padrão entrada e QDG, conf. projeto (1 utilização)</t>
  </si>
  <si>
    <t>020104</t>
  </si>
  <si>
    <t>Cercas de isolamento cor laranja, h=1.20m, fixada em pontaletes de madeira e base em concreto a cada 3m (considerando 2 utilizações)</t>
  </si>
  <si>
    <t>020201</t>
  </si>
  <si>
    <t>Placa de obra nas dimensões de 2.0 x 4.0 m, padrão DER</t>
  </si>
  <si>
    <t>020202</t>
  </si>
  <si>
    <t>Fornecimento e instalação de proteção para andaime fachadeiro considerando plataforma, rodapé e guarda-corpo em madeira, inclusive entelamento, conforme NR-18 (medido por m2 de fachada)</t>
  </si>
  <si>
    <t>020203</t>
  </si>
  <si>
    <t>Mobilização e desmobilização de conteiner locado para barracão de obra</t>
  </si>
  <si>
    <t>020204</t>
  </si>
  <si>
    <t>Aluguel mensal container para escritório, dim. 6.00x2.40m, c/ banheiro (vaso+lavat+chuveiro e básc), incl.  porta, 2 janelas, abert p/ ar cond., 2 pt iluminação, 2 tom. elét. e 1 tom.telef. Isolam.térmico(teto e paredes), piso em</t>
  </si>
  <si>
    <t>ms</t>
  </si>
  <si>
    <t>020205</t>
  </si>
  <si>
    <t>Aluguel mensal container para refeitorio, incl.  porta, 2 janelas, abert p/ ar cond., 2 pt iluminação, 2 tomadas elét. e 1 tomada telef. Isolamento térmico (paredes e teto), piso em comp. Naval pintado, cert. NR18, incl. laudo des</t>
  </si>
  <si>
    <t>020206</t>
  </si>
  <si>
    <t>Aluguel mensal container para vestiário, incl.  porta, venezianas de circulação, 1 pt iluminação, Isolamento térmico (teto), piso em comp. Naval pintado, cert. NR18, incl. laudo descontaminação.</t>
  </si>
  <si>
    <t>020207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</si>
  <si>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</si>
  <si>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020208</t>
  </si>
  <si>
    <t>Aluguel mensal container para almoxarifado, incl.  porta, 2 janelas, 1 pt iluminação, Isolamento térmico (teto), piso em comp. Naval pintado, cert. NR18, incl. laudo descontaminação.</t>
  </si>
  <si>
    <t>020209</t>
  </si>
  <si>
    <t>Locação de andaime metálico para trabalho em fachada de edifíco (aluguel de 1 m² por 1 mês) inclusive frete, montagem e desmontagem</t>
  </si>
  <si>
    <t>020210</t>
  </si>
  <si>
    <t>Locação de andaime metálico para fachada -  tipo torre (aluguel mensal)</t>
  </si>
  <si>
    <t>020211</t>
  </si>
  <si>
    <t>Tapume Telha Metálica Ondulada em aço galvalume 0,50mm Branca h=2,20m, incl. montagem estr.  mad. 8"x8", c/adesivo "PC-ES" 60x60cm a cada 10m, incl. faixas 40cm pint. esmalte sint. (Reaproveitamento 2x)</t>
  </si>
  <si>
    <t>03</t>
  </si>
  <si>
    <t>MOVIMENTO DE TERRA</t>
  </si>
  <si>
    <t>030101</t>
  </si>
  <si>
    <t>Escavação manual em material de 1a. categoria, até 1.50 m de profundidade</t>
  </si>
  <si>
    <t>030201</t>
  </si>
  <si>
    <t>Aterro com areia em áreas de calçada, inclusive fornecimento e adensamento</t>
  </si>
  <si>
    <t xml:space="preserve"> m3</t>
  </si>
  <si>
    <t>030202</t>
  </si>
  <si>
    <t>Reaterro apiloado de cavas de fundação, em camadas de 20 cm</t>
  </si>
  <si>
    <t>030301</t>
  </si>
  <si>
    <t>Índice de preço para remoção de entulho decorrente da execução de obras  (Classe A CONAMA - NBR 10.004 - Classe II-B), incluindo aluguel da caçamba, carga, transporte e descarga em área licenciada</t>
  </si>
  <si>
    <t>04</t>
  </si>
  <si>
    <t>ESTRUTURAS</t>
  </si>
  <si>
    <t>040101</t>
  </si>
  <si>
    <t>Fornecimento, preparo e aplicação de concreto magro com consumo mínimo de cimento de 250 kg/m3 (brita 1 e 2) - (5% de perdas já incluído no custo)</t>
  </si>
  <si>
    <t>040102</t>
  </si>
  <si>
    <t>Fôrma de chapa compensada resinada 12mm, levando-se em conta a utilização 3 vezes (incluido o material, corte, montagem, escoramento e desfôrma)</t>
  </si>
  <si>
    <t>040103</t>
  </si>
  <si>
    <t>Fornecimento, dobragem e colocação em fôrma, de armadura CA-50 A média, diâmetro de 6.3 a 10.0 mm</t>
  </si>
  <si>
    <t>kg</t>
  </si>
  <si>
    <t>040104</t>
  </si>
  <si>
    <t>Fornecimento, dobragem e colocação em fôrma, de armadura CA-60 B fina, diâmetro de 4.0 a 7.0mm</t>
  </si>
  <si>
    <t>040105</t>
  </si>
  <si>
    <t>Fornecimento, preparo e aplicação de concreto Fck=25 MPa (brita 1 e 2) - (5% de perdas já incluído no custo)</t>
  </si>
  <si>
    <t>040106</t>
  </si>
  <si>
    <t xml:space="preserve">Fornecimento/instalação lona plástica preta, espessura 150 micras
</t>
  </si>
  <si>
    <t>040107</t>
  </si>
  <si>
    <t>Armação para execução de radier, piso de concreto ou laje sobre solo, com uso de tela q-138. af_09/2021.</t>
  </si>
  <si>
    <t>Fôrma chapas de madeira compensada resinada, de 12 mm de espessura, levando-se em conta a utilização 3 vezes, reforçadas com sarrafos de madeira de 2.5 x 10.0 cm (incl. material, montagem, escoramento com pontaletes 8x8cm e desf.)</t>
  </si>
  <si>
    <t>040203</t>
  </si>
  <si>
    <t>040204</t>
  </si>
  <si>
    <t>040301</t>
  </si>
  <si>
    <t>Remoção cuidadosa do concreto afetado, através de escarificação</t>
  </si>
  <si>
    <t>040302</t>
  </si>
  <si>
    <t>Retirada de ferragem corroída</t>
  </si>
  <si>
    <t>040303</t>
  </si>
  <si>
    <t>Limpeza de aço com lixamento e escovamento com escova de aço, até a completa remoção de partículas soltas, materiais indesejáveis e corrosão</t>
  </si>
  <si>
    <t>040304</t>
  </si>
  <si>
    <t>Aplicação de Sika Top 108 Armatec ou equivalente, nas ferragens a serem recuperadas</t>
  </si>
  <si>
    <t>040305</t>
  </si>
  <si>
    <t>Recomposição de concreto danificado, com utilização de argamassa Sika Grout ou equivalente</t>
  </si>
  <si>
    <t>040306</t>
  </si>
  <si>
    <t>Fornecimento e lançamento de concreto para grouteamento com adição de pedrisco (50% em peso), utilizando Sikagrout ou produto equivalente, exclusive forma</t>
  </si>
  <si>
    <t>040307</t>
  </si>
  <si>
    <t>Furo em concreto com broca de vídea, utilizando martelete elétrico, diâmetro de 6,3 a 12,5mm, profundidade até 15 cm.</t>
  </si>
  <si>
    <t>040308</t>
  </si>
  <si>
    <t>Aplicação de adesivo estrutural base resina epoxi, fluido, Sikadur 32 (consumo=1,67 kg/m² p/ 1mm de esp), Sika ou similar, aplicação:ancoragem de cabos,colagem elementos pre-moldados,fixação de chumbadores,juntas de concretagem</t>
  </si>
  <si>
    <t>05</t>
  </si>
  <si>
    <t>PAREDES E PAINÉIS</t>
  </si>
  <si>
    <t>050101</t>
  </si>
  <si>
    <t>Alvenaria de blocos cerâmicos 10 furos 10x20x20cm, assentados c/argamassa de cimento, cal hidratada CH1 e areia traço 1:0,5:8, juntas 12mm e esp. das paredes s/revestimento, 10cm (bloco comprado na praça de Vitória, posto obra)</t>
  </si>
  <si>
    <t>050102</t>
  </si>
  <si>
    <t>Alvenaria de blocos cerâmicos 10 furos 10x20x20cm, assentados c/argamassa de cimento, cal hidratada CH1 e areia traço 1:0.5:8, juntas 12mm e espessura das paredes, s/ revestimento, 20cm(bloco comprado praça de Vitória, posto obra)</t>
  </si>
  <si>
    <t>050201</t>
  </si>
  <si>
    <t>Parede com placas de gesso acartonado (drywall), para uso interno com duas faces duplas e estrutura metálica com guias duplas, sem vãos. af_06/2017.</t>
  </si>
  <si>
    <t>050202</t>
  </si>
  <si>
    <t>Divisória de granito branco com 3 cm de espessura, assentada com argamassa de cimento e areia no traço 1:3, acabamento com borda boleada</t>
  </si>
  <si>
    <t>050301</t>
  </si>
  <si>
    <t>Verga/contraverga reta de concreto armado 10 x 5 cm, Fck = 15 MPa, inclusive forma, armação e desforma</t>
  </si>
  <si>
    <t>050401</t>
  </si>
  <si>
    <t>Aplicação de tela tipo Belgo Revest ou equivalente, para armadura de argamassa, em encontros de alvenaria com vigas (horizontais) e alvenaria com pilares (verticais), com largura de 25cm e 50cm</t>
  </si>
  <si>
    <t>06</t>
  </si>
  <si>
    <t>ESQUADRIAS DE MADEIRA</t>
  </si>
  <si>
    <t>060101</t>
  </si>
  <si>
    <t>Marco de madeira de lei de 1ª (Peroba, Ipê, Angelim Pedra ou equivalente)com 15 x 3 cm de batente</t>
  </si>
  <si>
    <t>060201</t>
  </si>
  <si>
    <t>Porta em madeira de lei tipo angelim pedra ou equiv.c/enchimento em madeira 1a.qualidade esp. 30mm p/ pintura, inclusive alizares, dobradiças e fechadura externa em latão cromado LaFonte ou equiv., exclusive marco, nas dim.: 0.80</t>
  </si>
  <si>
    <t>060202</t>
  </si>
  <si>
    <t>Porta em madeira de lei tipo angelim pedra ou equiv.c/enchimento em madeira 1a.qualidade esp. 30mm p/ pintura, inclusive alizares, dobradiças e fechadura externa em latão cromado LaFonte ou equiv., exclusive marco, nas dim.: 0.90</t>
  </si>
  <si>
    <t>07</t>
  </si>
  <si>
    <t>ESQUADRIAS METÁLICAS</t>
  </si>
  <si>
    <t>070101</t>
  </si>
  <si>
    <t>Porta de ferro, de abrir, tipo chapa lisa, com guarnições</t>
  </si>
  <si>
    <t>070102</t>
  </si>
  <si>
    <t>Gradil em alumínio fixado em vãos de janelas, formado por tubos de 3/4" af_04/2019</t>
  </si>
  <si>
    <t>070201</t>
  </si>
  <si>
    <t>Janela tipo maxim-ar para vidro em alumínio anodizado natural, linha 25, completa, incl. puxador com tranca, caixilho, alizar e contramarco, exclusive vidro</t>
  </si>
  <si>
    <t>070202</t>
  </si>
  <si>
    <t>Porta de abrir tipo veneziana em alumínio anodizado, linha 25, completa, incl. puxador com tranca, caixilho, alizar e contramarco</t>
  </si>
  <si>
    <t>070203</t>
  </si>
  <si>
    <t>Fornecimento e instalação de Porta corta-fogo para saída de emergência Dim.: 90x210x5cm, conforme ABNT NBR 11742, classe P-120, chapa de aco, tendo marcos, inclusive tres pares de dobradicas com mola, exclusive pintura</t>
  </si>
  <si>
    <t>070204</t>
  </si>
  <si>
    <t>Porta de abrir tipo camarão em alumínio anodizado preto com vidro laminado 8mm,  completa, incl. puxador com tranca, caixilho, alizar e contramarco.</t>
  </si>
  <si>
    <t>070205</t>
  </si>
  <si>
    <t>Báscula para vidro em alumínio anodizado cor natural, linha 25, completa inclusive puxador c/ tranca, caixilho e contramarco nas dimensões: 2.00 x 1.00 m</t>
  </si>
  <si>
    <t>070206</t>
  </si>
  <si>
    <t>Escada em ferro, degraus em chapa xadrez 3/16", perfil em "u" 152,40 x 5,10mm, inclusive corrimão em tubo de ferro galv. 1 1/2" e pintura</t>
  </si>
  <si>
    <t>070207</t>
  </si>
  <si>
    <t>Janela de correr para vidro em alumínio anodizado cor natural, linha 25, completa, incl. puxador com tranca, alizar, caixilho e contramarco, exclusive vidro</t>
  </si>
  <si>
    <t>08</t>
  </si>
  <si>
    <t>VIDROS</t>
  </si>
  <si>
    <t>080101</t>
  </si>
  <si>
    <t>Vidro fantasia mini-boreal, com 4 mm de espessura</t>
  </si>
  <si>
    <t>080102</t>
  </si>
  <si>
    <t>Fornecimento e instalação de fachada em pele de vidro, em vidro laminado refletivo esp.8mm, fixados em perfis de alumínio.</t>
  </si>
  <si>
    <t>080103</t>
  </si>
  <si>
    <t>Vidro plano transparente liso, com 4 mm de espessura</t>
  </si>
  <si>
    <t>080201</t>
  </si>
  <si>
    <t>Espelho prata esp. 4 mm de espessura</t>
  </si>
  <si>
    <t>09</t>
  </si>
  <si>
    <t>COBERTURA</t>
  </si>
  <si>
    <t>090101</t>
  </si>
  <si>
    <t>Estrutura de madeira de lei tipo Paraju, peroba mica, angelim pedra ou equivalente para telhado de telha ondulada de fibrocimento esp. 6mm, com pontaletes e caibros, inclusive tratamento com cupinicida, exclusive telhas</t>
  </si>
  <si>
    <t>090201</t>
  </si>
  <si>
    <t>Cobertura telha termoacústica tipo telha/telha trapezoidal TR40 de aço galvalume esp. 0,5mm, com isolamento em poliisocianurato (PIR) injetado esp.30mm, pré-pintada nas 2 faces cor branco padrão, inclusive acessórios de fixação</t>
  </si>
  <si>
    <t>090202</t>
  </si>
  <si>
    <t>Fornecimento e instalação de cobertura curva com telha de policarbonato alveolar branco leitoso e=10mm, inclusive estrutura de alumínio branca, calha, rufo e acessórios de fixação/sustenção em aço inoxidável</t>
  </si>
  <si>
    <t>090301</t>
  </si>
  <si>
    <t>Rufo de concreto armado Fck=20 MPa, nas dimensões de 30x7 cm, moldado "in loco", inclusive forma e armação e desforma, conforme projeto</t>
  </si>
  <si>
    <t>090302</t>
  </si>
  <si>
    <t>Chapim de granito cinza andorinha, 30 cm, esp. 2cm, c/ pingadeira dos dois lados</t>
  </si>
  <si>
    <t>090303</t>
  </si>
  <si>
    <t>Calha de concreto armado Fck=15 MPa em "U" nas dimensões de 38 x 56 cm conforme detalhes em projeto</t>
  </si>
  <si>
    <t>10</t>
  </si>
  <si>
    <t>IMPERMEABILIZAÇÃO</t>
  </si>
  <si>
    <t>Índice de imperm.c/ manta asfáltica atendendo NBR 9952, asfalto polimerizado esp.3mm, reforç.c/ filme int. polietileno, regul. base c/ arg.1:4 esp.mín.15mm, proteção mec. arg.1:4 esp.20mm e juntas dilat.</t>
  </si>
  <si>
    <t>100102</t>
  </si>
  <si>
    <t>Impermeabilização c/ manta asfáltica aluminizada 3mm, estruturada com não-tecido de poliéster, inclusive aplicação de 1 demão de primer e regul.</t>
  </si>
  <si>
    <t>11</t>
  </si>
  <si>
    <t>TETOS E FORROS</t>
  </si>
  <si>
    <t>110101</t>
  </si>
  <si>
    <t>Chapisco com argamassa de cimento e areia média ou grossa lavada no traço 1:3, espessura 5 mm</t>
  </si>
  <si>
    <t>110102</t>
  </si>
  <si>
    <t>Chapisco com argamassa de cimento e areia média ou grossa lavada no traço 1:3, espessura 5 mm, com aplicação de aditivo promotor de aderência</t>
  </si>
  <si>
    <t>110201</t>
  </si>
  <si>
    <t>Forro de gesso acabamento tipo liso</t>
  </si>
  <si>
    <t>110202</t>
  </si>
  <si>
    <t>Fornecimento e instalação de linha de sombra 3x3cm em forro de gesso</t>
  </si>
  <si>
    <t>110203</t>
  </si>
  <si>
    <t>Forro de fibra mineral em placas de 1250 X 625 mm, E = 15 mm, borda reta, com pintura antimofo, apoiado em perfil de aço galvanizado com 24 mm de
base - Instalado</t>
  </si>
  <si>
    <t>110301</t>
  </si>
  <si>
    <t>Reboco tipo paulista de argamassa de cimento, cal hidratada CH1 e areia lavada traço 1:0.5:6, espessura 25 mm</t>
  </si>
  <si>
    <t>12</t>
  </si>
  <si>
    <t>REVESTIMENTO DE PAREDES INTERNAS E EXTERNAS</t>
  </si>
  <si>
    <t>120101</t>
  </si>
  <si>
    <t>Chapisco de argamassa de cimento e areia média ou grossa lavada, no traço 1:3, espessura 5 mm (obs.: Este serviço depende do item 010202 e sua quantidade foi estimada visualmente em 60%)</t>
  </si>
  <si>
    <t>120102</t>
  </si>
  <si>
    <t>Chapisco de argamassa de cimento e areia média ou grossa lavada, no traço 1:3, espessura 5 mm</t>
  </si>
  <si>
    <t>120201</t>
  </si>
  <si>
    <t>Revestimento em ACM anti-chama esp. 4mm , inclusive estrutura metálica auxiliar e cores conforme projeto</t>
  </si>
  <si>
    <t>120202</t>
  </si>
  <si>
    <t>Área técnica (Passarela) para Ar-Condicionado tipo Split com Guarda Corpo  e Brise em veneziana (H=1,80m) cor a ser definida - Fornecimento, Instalação e Pintura eletrostática</t>
  </si>
  <si>
    <t>120203</t>
  </si>
  <si>
    <t>Porcelanato polido, acabamento acetinado, dim. 60x60cm, ref. de cor CIMENTO CINZA BOLD Potobello/equiv, utilizando dupla colagem de argamassa colante para porcelanato tipo ACIII e rejunte 1mm para porcelanato</t>
  </si>
  <si>
    <t>120204</t>
  </si>
  <si>
    <t>Acabamento de alumínio com perfil de canto para arremate das paredes</t>
  </si>
  <si>
    <t>120301</t>
  </si>
  <si>
    <t>Reboco tipo paulista de argamassa de cimento, cal hidratada CH1 e areia média ou grossa lavada no traço 1:0.5:6, espessura 25 mm (obs.: Este serviço depende do item 010202 e sua quantidade foi estimada visualmente em 60%)</t>
  </si>
  <si>
    <t>120302</t>
  </si>
  <si>
    <t>Emboço de argamassa de cimento, cal hidratada CH1 e areia  média ou grossa lavada no traço 1:0.5:6, espessura 20 mm</t>
  </si>
  <si>
    <t>120303</t>
  </si>
  <si>
    <t>Reboco tipo paulista de argamassa de cimento, cal hidratada CH1 e areia média ou grossa lavada no traço 1:0.5:6, espessura 25 mm</t>
  </si>
  <si>
    <t>13</t>
  </si>
  <si>
    <t>PISOS INTERNOS E EXTERNOS</t>
  </si>
  <si>
    <t>130101</t>
  </si>
  <si>
    <t>Regularização de base p/ revestimento cerâmico, com argamassa de cimento e areia no traço 1:5, espessura 3cm</t>
  </si>
  <si>
    <t>130201</t>
  </si>
  <si>
    <t>130202</t>
  </si>
  <si>
    <t>Revestimento de piso com placas de borracha plurigoma preto pastilhado ou equivalente, inclusive arremate</t>
  </si>
  <si>
    <t>130203</t>
  </si>
  <si>
    <t>Piso têxtil (carpete) em manta (rolo) e = 9 a 10 mm.</t>
  </si>
  <si>
    <t>130204</t>
  </si>
  <si>
    <t>Limpeza, estucagem e polimento mecânico de piso de granito</t>
  </si>
  <si>
    <t>130301</t>
  </si>
  <si>
    <t>Peitoril de granito cinza polido, com pingadeira, esp 2 cm, largura 15 cm</t>
  </si>
  <si>
    <t>130302</t>
  </si>
  <si>
    <t>Soleira de granito esp. 2 cm e largura de 15 cm</t>
  </si>
  <si>
    <t>130303</t>
  </si>
  <si>
    <t>Rodapé de granito branco com aresta boleada, assentado com argamassa de cimento, cal hidratada CH1 e areia no traço 1:0,5:8, incl. rejuntamento com cimento branco, dim. 10 x 2.0cm</t>
  </si>
  <si>
    <t>130304</t>
  </si>
  <si>
    <t>Rodapé de granito branco , assentado com argamassa de cimento, cal hidratada CH1 e areia no traço 1:0,5:8, incl. rejuntamento com cimento branco, dim. 25 x 2.0cm</t>
  </si>
  <si>
    <t>14</t>
  </si>
  <si>
    <t>INSTALAÇÕES HIDROSSANITÁRIAS</t>
  </si>
  <si>
    <t>140101</t>
  </si>
  <si>
    <t>Ponto de água fria (lavatório, tanque, pia de cozinha, etc...)</t>
  </si>
  <si>
    <t>pt</t>
  </si>
  <si>
    <t>140102</t>
  </si>
  <si>
    <t>Ponto com registro de pressão (chuveiro, caixa de descarga, etc...)</t>
  </si>
  <si>
    <t>140103</t>
  </si>
  <si>
    <t>Ponto para esgoto primário (vaso sanitário)</t>
  </si>
  <si>
    <t>140104</t>
  </si>
  <si>
    <t>Ponto para esgoto secundário (pia, lavatório, mictório, tanque, bidê, etc...)</t>
  </si>
  <si>
    <t>140105</t>
  </si>
  <si>
    <t>Ponto para caixa sifonada, inclusive caixa sifonada pvc 150x150x50mm com grelha em aço inox</t>
  </si>
  <si>
    <t>140106</t>
  </si>
  <si>
    <t>Ponto para ralo sifonado, inclusive ralo sifonado 100 x 40 mm c/ grelha em açõ inox</t>
  </si>
  <si>
    <t>140107</t>
  </si>
  <si>
    <t>Ponto com registro de gaveta, exclusive registro</t>
  </si>
  <si>
    <t>140108</t>
  </si>
  <si>
    <t>Ponto de válvula de descarga, inclusive válvula de descarga de 50mm (1 1/2"), com acabamento para válvula de descarga Benefit, marca de referência Docol ou equivalente Mod. 00184906</t>
  </si>
  <si>
    <t>140201</t>
  </si>
  <si>
    <t>Tubo de PVC rígido soldável marrom, diâm. 25mm (3/4"), inclusive conexões</t>
  </si>
  <si>
    <t>140202</t>
  </si>
  <si>
    <t>Tubo de PVC rígido soldável branco, para esgoto, diâmetro 40mm (1 1/2"), inclusive conexões</t>
  </si>
  <si>
    <t>140203</t>
  </si>
  <si>
    <t>Isolamento térmico flexível em espuma elastomérica para tubo com diâmetro de 25mm, marca de referência armaflex ou similar</t>
  </si>
  <si>
    <t>140204</t>
  </si>
  <si>
    <t>Isolamento térmico flexível em espuma elastomérica para tubo com diâmetro de 40mm, marca de referência armaflex ou similar</t>
  </si>
  <si>
    <t>140205</t>
  </si>
  <si>
    <t>Caixa de passagem para condicionamento de ar tipo Split, com saída de dreno único na vertical</t>
  </si>
  <si>
    <t>140301</t>
  </si>
  <si>
    <t>140302</t>
  </si>
  <si>
    <t>Tubo de PVC rigido soldável marrom, diâm. 32mm (1"), inclusive conexões</t>
  </si>
  <si>
    <t>140303</t>
  </si>
  <si>
    <t>Tubo de PVC rígido soldável marrom, diâm. 50mm (11/2"), inclusive conexões</t>
  </si>
  <si>
    <t>140304</t>
  </si>
  <si>
    <t>Tubo de PVC rígido soldável marrom, diâm. 75mm (21/2"), inclusive conexões</t>
  </si>
  <si>
    <t>140401</t>
  </si>
  <si>
    <t>140402</t>
  </si>
  <si>
    <t>Tubo de PVC rígido soldável branco, para esgoto, diâmetro 50mm (2"), inclusive conexões</t>
  </si>
  <si>
    <t>140403</t>
  </si>
  <si>
    <t>Tubo de PVC rígido soldável branco, para esgoto, diâmetro 100mm (4"), inclusive conexões</t>
  </si>
  <si>
    <t>140404</t>
  </si>
  <si>
    <t>Tubo de PVC rígido soldável branco, para esgoto, diâmetro 75mm (3"), inclusive conexões</t>
  </si>
  <si>
    <t>140405</t>
  </si>
  <si>
    <t>Terminal de ventilação em PVC rígido soldável, diam. 50mm</t>
  </si>
  <si>
    <t>140406</t>
  </si>
  <si>
    <t>Terminal de ventilação em PVC rígido soldável diam. 75mm</t>
  </si>
  <si>
    <t>140501</t>
  </si>
  <si>
    <t>Abertura e fechamento de rasgos em alvenaria, para passagem de tubulações, diâm. 1/2" a 1"</t>
  </si>
  <si>
    <t>140502</t>
  </si>
  <si>
    <t>Abertura e fechamento de rasgos em alvenaria, para passagem de tubulações, diâm. 11/4" a 2"</t>
  </si>
  <si>
    <t>140503</t>
  </si>
  <si>
    <t>Abertura e fechamento de rasgos em concreto, para passagem de tubulações, diâm. 11/4" a 2"</t>
  </si>
  <si>
    <t>140504</t>
  </si>
  <si>
    <t>Furo em concreto com martelete ou rompedor pneumático manual para diâmetros menores ou iguais a 1.1/2"</t>
  </si>
  <si>
    <t>cm</t>
  </si>
  <si>
    <t>140601</t>
  </si>
  <si>
    <t>Grelha hemisférica em ferro fundido, tipo abacaxi, diâmetro 100mm</t>
  </si>
  <si>
    <t>140602</t>
  </si>
  <si>
    <t>Prumada de água pluvial- (OBS:Variável, conforme projeto - apenas base de referência)</t>
  </si>
  <si>
    <t>140603</t>
  </si>
  <si>
    <t>Ponto para dreno de ar condicionado, inclusive conexões, isolamento térmico com espuma elastomérica e descidas até caixa de areia/brita</t>
  </si>
  <si>
    <t>15</t>
  </si>
  <si>
    <t>INSTALAÇÕES ELÉTRICAS</t>
  </si>
  <si>
    <t>150101</t>
  </si>
  <si>
    <t>Caixa de passagem 400x400x120mm, chapa 18, com tampa parafusada</t>
  </si>
  <si>
    <t>150102</t>
  </si>
  <si>
    <t>Caixa de embutir marca de referência Tigreflex, 4x2"</t>
  </si>
  <si>
    <t>150201</t>
  </si>
  <si>
    <t>Eletrocalha perfurada em chapa de aço galvanizado nº16, 150x50mm, sem tampa</t>
  </si>
  <si>
    <t>150202</t>
  </si>
  <si>
    <t>Tampa de encaixe para eletrocalha em chapa de aço galvanizada 18, dim. 150mm</t>
  </si>
  <si>
    <t>150301</t>
  </si>
  <si>
    <t>Eletroduto de PVC rígido roscável, diâm. 3/4" (25mm), inclusive conexões</t>
  </si>
  <si>
    <t>150302</t>
  </si>
  <si>
    <t>Eletroduto de PVC rígido roscável, diâm. 1" (32mm), inclusive conexões</t>
  </si>
  <si>
    <t>150303</t>
  </si>
  <si>
    <t>Eletroduto de PVC rígido roscável, diâm. 1 1/2" (50mm), inclusive conexões</t>
  </si>
  <si>
    <t xml:space="preserve"> m</t>
  </si>
  <si>
    <t>150304</t>
  </si>
  <si>
    <t>Eletroduto de PVC rígido roscável, diâm. 2" (60mm), inclusive conexões</t>
  </si>
  <si>
    <t>150401</t>
  </si>
  <si>
    <t>Fio de cobre termoplástico, com isolamento para 750V, seção de 2.5 mm2</t>
  </si>
  <si>
    <t>150402</t>
  </si>
  <si>
    <t>Fio ou cabo de cobre termoplástico, com isolamento para 750V, seção de 4.0 mm2</t>
  </si>
  <si>
    <t>150501</t>
  </si>
  <si>
    <t>Abertura e fechamento de rasgos em alvenaria, para passagem de eletrodutos diâm. 1/2" a 1"</t>
  </si>
  <si>
    <t>150502</t>
  </si>
  <si>
    <t>Abertura e fechamento de rasgos em alvenaria, para passagem de eletroduto diâm. 1 1/4"a 2"</t>
  </si>
  <si>
    <t>150601</t>
  </si>
  <si>
    <t>Ponto de refletor para iluminação externa - considerando eletroduto PVC rígido de 3/4" inclusive conexões e fio isolado PVC de 2.5mm2</t>
  </si>
  <si>
    <t>150602</t>
  </si>
  <si>
    <t>Ponto padrão de luz no teto - considerando eletroduto PVC rígido de 3/4" inclusive conexões (4.5m), fio isolado PVC de 2.5mm2 (16.2m) e caixa PVC 4x4" (1 und)</t>
  </si>
  <si>
    <t>150603</t>
  </si>
  <si>
    <t>Ponto padrão de interruptor de 1 tecla simples e 1 tomada dois pólos mais terra 10A/250V - considerando eletroduto PVC rígido de 3/4" inclusive conexões (4.5m), fio isolado PVC de 2.5mm2 (19.4m) e caixa PVC 4x2" (1 und)</t>
  </si>
  <si>
    <t>150604</t>
  </si>
  <si>
    <t>Ponto padrão de tomada para chuveiro elétrico - considerando eletroduto PVC rígido de 3/4" inclusive conexões (9.0m), fio isolado PVC de 6.0mm2 (32.5m) e caixa PVC 4x2" (1 und)</t>
  </si>
  <si>
    <t>150605</t>
  </si>
  <si>
    <t>Ponto padrão de luz na parede - considerando eletroduto PVC rígido de 3/4" inclusive conexões (4.5m), fio isolado PVC de 2.5mm2 (16.2m) e caixa pvc 4x2" (1 und)</t>
  </si>
  <si>
    <t>150606</t>
  </si>
  <si>
    <t>Ponto padrão de interruptor de 1 tecla simples - considerando eletroduto PVC rígido de 3/4" inclusive conexões (3.3m), fio isolado PVC de 2.5mm2 (8.6m) e caixa PVC 4x2" (1 und)</t>
  </si>
  <si>
    <t>16</t>
  </si>
  <si>
    <t>OUTRAS INSTALAÇÕES</t>
  </si>
  <si>
    <t>Condutor de cobre nú, seção de 35mm2, inclusive suportes isoladores e acessórios de fixação, conforme projeto</t>
  </si>
  <si>
    <t>160102</t>
  </si>
  <si>
    <t>Kit completo para solda Exotérmica (Molde HCL 5/8" Ref: TEL905611 / Cartucho n° 115 Ref: TEL 909115 / Alicate Z 201 Ref: TEL 998201), marca de referência Termotécnica ou equivalente</t>
  </si>
  <si>
    <t>Mastro simples 3mx1.1/2", uma descida, incl. base de fixação, captor, conj.de contraventagem c/abraçadeira p/3 estais em tubo e demais acessórios, excl. cabo de cobre de descida e suportes isoladores, ref.Termotécnica ou equiv.</t>
  </si>
  <si>
    <t>160104</t>
  </si>
  <si>
    <t>Aterramento com haste terra 5/8" x 2.40, cabo de cobre nu 35mm2, inclusive caixa de concreto 30 x 30 cm</t>
  </si>
  <si>
    <t>Tubo de cobre com isolamento térmico - ø 1/4" esp. 9mm</t>
  </si>
  <si>
    <t>Tubo de cobre com isolamento térmico - ø 3/8" esp. 9mm</t>
  </si>
  <si>
    <t>Tubo de cobre com isolamento térmico - ø 1/2" esp. 9mm</t>
  </si>
  <si>
    <t>Tubo de cobre com isolamento térmico - ø 5/8" esp. 9mm</t>
  </si>
  <si>
    <t>Emenda de tubos e conexões de cobre por processo de solda - ø 1/4" até 1/2"</t>
  </si>
  <si>
    <t>Instalação de Unidade Evaporadora e Condensadora de Ar Condicionado tipo Split Hi-Wall (Parede) 220V - Ciclo Frio - Classificação A (Selo PROCEL), inclusive amortecedores vibra-stop</t>
  </si>
  <si>
    <t>Instalação de Linha frigorígena para interligação do sistema de climatização incl. acessórios de fixação, fita PVC auto-aderente e cabo PP, exclusive tubos de cobre da linha liquida e sucção, espuma elastomérica flexivel e gás ref</t>
  </si>
  <si>
    <t>17</t>
  </si>
  <si>
    <t>APARELHOS HIDRO-SANITÁRIOS</t>
  </si>
  <si>
    <t>170101</t>
  </si>
  <si>
    <t>Lavatório de louça branca com coluna suspensa, linha Vogue Plus Confort para portadores de necessidades especiais, marca de referencia DECA, Celite ou Ideal Standart, inclusive valvula, sifão e engates, exclusive torneira</t>
  </si>
  <si>
    <t>Bacia sifonada de louça branca sem abertura frontal para portadores de necessidades especiais, Vogue Plus Conforto - Linha Conforto, mod P510, incl. assento poliester, ref.AP51,marca de ref. Deca ou equivalente, sem abertura front</t>
  </si>
  <si>
    <t>170103</t>
  </si>
  <si>
    <t>Bacia sifonada de louça branca, marcas de referência Deca, Celite ou Ideal Standard, inclusive acessórios</t>
  </si>
  <si>
    <t>170104</t>
  </si>
  <si>
    <t>Mictório de louça branca com sifão integrado M-715, marcas de referência Deca, Celite ou Ideal Standard, inclusive válvula de descarga linha anti-vandalismo, marcas de referência Fabrimar, Docol ou Deca e engates e acessórios crom</t>
  </si>
  <si>
    <t>170105</t>
  </si>
  <si>
    <t>Cuba de semi-encaixe, DECA, REF. L830 cor GE17 ou siimilar, inclusive sifão, engate, válvula e exclusive torneira</t>
  </si>
  <si>
    <t>170201</t>
  </si>
  <si>
    <t>Bancada em granito branco esp.2cm, apoiada em cantoneira 1.1/2"x1.1/2"x3/16" c/ tratamento antiferruginoso e pint. esmalte sintético, testeira de 10cm, acab. Semi-boleado excl. roda-banca</t>
  </si>
  <si>
    <t>170202</t>
  </si>
  <si>
    <t>Rodabancada em granito branco, esp. 2cm, h=10,0cm, acabamento polido com borda boleda, assentado com argamassa de cimento, cal hidratada e areia, incluindo rejuntamento com cimento branco</t>
  </si>
  <si>
    <t>170301</t>
  </si>
  <si>
    <t>Torneira de pressão com acionamento manual e fechamento automatico, cromada diâm. 1/2", para lavatório, marcas de referência acquapress Fabrimar, presmatic  Docol, Deca ou equivalente</t>
  </si>
  <si>
    <t>170302</t>
  </si>
  <si>
    <t>Registro de gaveta com canopla cromada diam 32mm (11/4"), marcas de referência Fabrimar, Deca ou Docol</t>
  </si>
  <si>
    <t>170303</t>
  </si>
  <si>
    <t>Torneira para tanque, marcas de referência Fabrimar, Deca ou Docol.</t>
  </si>
  <si>
    <t>170304</t>
  </si>
  <si>
    <t>Válvula de descarga com canopla cromada de 40mm (11/2"), marcas de referência Fabrimar, Deca ou Docol</t>
  </si>
  <si>
    <t>170305</t>
  </si>
  <si>
    <t>Válvula de Descarga 50mm (1 1/2"), com acabamento para válvula de descarga Benefit, Mod. 00184906, marcas de referência Fabrimar, Deca ou Docol</t>
  </si>
  <si>
    <t>170401</t>
  </si>
  <si>
    <t>Tanque simples de aço inox Fischer, mod. TQ1-S AISI 304, ou equivalente nas marcas Metalpress ou Mekal, inclusive válvula de metal 1 1/4"  e sifão cromado 2", excl. torneira</t>
  </si>
  <si>
    <t>170402</t>
  </si>
  <si>
    <t>Ducha manual Acqua jet , linha Aquarius, com registro ref.C 2195, marcas de referência Fabrimar, Deca ou Docol</t>
  </si>
  <si>
    <t>170403</t>
  </si>
  <si>
    <t>Cabide simples de um gancho, linha Versailles, ref. 08, acabamento cromado, da Moldenox, Docol ou Deca</t>
  </si>
  <si>
    <t>170404</t>
  </si>
  <si>
    <t>Dispenser de plástico ABS branco para sabonete líquido, marcas de referência JSN, Iramax, Sólimp ou equivalente, com reservatório, fixado com parafusos e buchas</t>
  </si>
  <si>
    <t>170405</t>
  </si>
  <si>
    <t>Porta toalha de papel em inox ref. JSN ou equivalente</t>
  </si>
  <si>
    <t>170406</t>
  </si>
  <si>
    <t>Saboneteira de parede em metal cromado, incluso fixação. af_01/2020.</t>
  </si>
  <si>
    <t>un</t>
  </si>
  <si>
    <t>170407</t>
  </si>
  <si>
    <t>Dispenser de aço inox para papel higiênico em rolo de 300 a 400m, com porta cadeado, fixado com parafusos e buchas</t>
  </si>
  <si>
    <t>170408</t>
  </si>
  <si>
    <t>Reservatorio de polietileno de 10.000 litros, exclusive flanges e torneira de bóia</t>
  </si>
  <si>
    <t>170409</t>
  </si>
  <si>
    <t>Reservatório de polietileno de 1000 L, inclusive peça de madeira 6 x 16 cm para apoio, exclusive flanges e torneira de bóia</t>
  </si>
  <si>
    <t>170410</t>
  </si>
  <si>
    <t>Torneira de bóia de PVC, diâm. 11/4" (32mm)</t>
  </si>
  <si>
    <t>170501</t>
  </si>
  <si>
    <t>Barra de apoio reta em aço inox 304 p/ portadores de necessidades especiais (NBR 9050), largura 80 cm</t>
  </si>
  <si>
    <t>170502</t>
  </si>
  <si>
    <t>Barra de apoio reta em aço inox 304 p/ portadores de necessidades especiais (NBR 9050), largura 40 cm</t>
  </si>
  <si>
    <t>18</t>
  </si>
  <si>
    <t>APARELHOS ELÉTRICOS</t>
  </si>
  <si>
    <t>180101</t>
  </si>
  <si>
    <t>Refletor de LED 200W, branco frio 6500K, 24.000lm, IP66, Slim, Bivolt, inclusive fotocélula</t>
  </si>
  <si>
    <t>180102</t>
  </si>
  <si>
    <t>Luminária embutir compl., corpo ch. aço pintada branca, refletor,aletas parabólicas alum.alta pureza e refletância nclusive 4 lâmpadas LED T8 9W temp. de cor 5000k - Ref.CE416AL-N - AMES, 6026 - LUMAVI OU EQUIVALENTE</t>
  </si>
  <si>
    <t>180103</t>
  </si>
  <si>
    <t>Luminária tipo arandela com proteção, IP54, soquete e-27, para uma lâmpada de led tipo bulbo, marca de referência wetzel ou equivalente, inclusive lâmpada</t>
  </si>
  <si>
    <t>180201</t>
  </si>
  <si>
    <t>Interruptor de uma tecla simples 10A/250V e uma tomada 3 polos 10A/250V, padrão brasileiro, NBR 14136, linha branca, com placa 4x2"</t>
  </si>
  <si>
    <t>Fornecimento de Unidade Evaporadora e Condensadora de Ar Condicionado tipo Split Hi-Wall (Parede) de 12.000 BTU´s 220V - Ciclo Frio - Classificação A (Selo PROCEL), inclusive amortecedores vibra-stop</t>
  </si>
  <si>
    <t>Fornecimento de Unidade Evaporadora e Condensadora de Ar Condicionado tipo Split  Hi-Wall (Parede) de 18.000 BTU´s 220V - Ciclo Frio - Classificação A (Selo PROCEL), inclusive amortecedores vibra-stop</t>
  </si>
  <si>
    <t>180401</t>
  </si>
  <si>
    <t>Chuveiro elétrico tipo ducha Lorenzet ou Corona</t>
  </si>
  <si>
    <t>180402</t>
  </si>
  <si>
    <t>Exaustor para banheiro, bivolt, ref.: C 280 A, da Ventokit ou similar - fornecimento e instalação</t>
  </si>
  <si>
    <t>19</t>
  </si>
  <si>
    <t>PINTURA</t>
  </si>
  <si>
    <t>190101</t>
  </si>
  <si>
    <t>Emassamento de paredes e forros, com duas demãos de massa à base de PVA, marcas de referência Suvinil, Coral ou Metalatex</t>
  </si>
  <si>
    <t>190102</t>
  </si>
  <si>
    <t>Pintura com tinta acrílica, marcas de referência Suvinil, Coral e Metalatex, inclusive selador acrílico, em paredes e forros, a duas demãos</t>
  </si>
  <si>
    <t>190103</t>
  </si>
  <si>
    <t>Selador acrílico a uma demão, marcas de referência Suvinil, Coral ou Metalatex</t>
  </si>
  <si>
    <t>190201</t>
  </si>
  <si>
    <t>Emassamento de esquadrias de madeira, com duas demãos de massa à base de óleo, marcas de referência Suvinil, Coral ou Metalatex</t>
  </si>
  <si>
    <t>190202</t>
  </si>
  <si>
    <t>Pintura com tinta esmalte sintético, marcas de referência Suvinil, Coral ou Metalatex, inclusive fundo branco nivelador, em madeira, a duas demãos</t>
  </si>
  <si>
    <t>190301</t>
  </si>
  <si>
    <t>Pintura com tinta esmalte sintético, marcas de referência Suvinil, Coral ou Metalatex, a duas demãos, inclusive fundo anticorrosivo a uma demão, em metal</t>
  </si>
  <si>
    <t>20</t>
  </si>
  <si>
    <t>SERVIÇOS COMPLEMENTARES EXTERNOS</t>
  </si>
  <si>
    <t>Regularização para piso de calçadas (apenas compactação com compactador manual)</t>
  </si>
  <si>
    <t>Meio-fio de concreto pré-moldado com dimensões de 10x12x30x100 cm , rejuntados com argamassa de cimento e areia no traço 1:3</t>
  </si>
  <si>
    <t>Execução de passeio (calçada) ou piso de concreto com concreto moldado in loco, feito em obra, acabamento convencional, espessura 6 cm, armado. af_07/2016.</t>
  </si>
  <si>
    <t>Piso em concreto Fck = 25MPa, espessura de 10 cm, acab. superf. c/ rotoalisador, armado c/ tela Q138, espaçador treliçado , lona plástica, inclusive base 10cm de solo brita 30%</t>
  </si>
  <si>
    <t>Junta de encontro esp.=1,0cm, profundidade de 10,0 a 15,0cm, com aplicação de isopor e mastique elástico em poliuretano 10x10mm, marca Vedaflex da Vedacit, PU-30 da Quartzolit, Monopol PU-25 da Viapol ou equivalente</t>
  </si>
  <si>
    <t>Junta de construção/serrada 6,0x18,0mm, c/ tarucel Ø6,0mm e mastique elástico em poliuretano 6x12mm marca Vedaflex-Vedacit, PU-30-Quartzolit, Monopol PU-25-Viapol ou equiv, excl. barra transferência</t>
  </si>
  <si>
    <t>Rampa para acesso de veículos em concreto armado Fck = 30MPa, espessura de 15cm, acab. superf. c/ rotoalisador, armada c/ tela Q138 e Q246, espaçador treliçado , lona plástica, inclusive base</t>
  </si>
  <si>
    <t>Fornecimento e assentamento de ladrilho hidráulico pastilhado, vermelho, dim. 20x20 cm, esp. 1.5cm, assentado com pasta de cimento colante, inclusive lastro de concreto regularizado com 8 cm de espessura</t>
  </si>
  <si>
    <t>Fornecimento e plantio de grama em placas tipo esmeralda, inclusive fornecimento de terra vegetal</t>
  </si>
  <si>
    <t xml:space="preserve"> Fornecimento e plantio de ixoria, inclusive substrato composto, terra vegetal, adubo orgânico, calcário e fertilizante</t>
  </si>
  <si>
    <t>200203</t>
  </si>
  <si>
    <t>Fornecimento e plantio de bela emília, inclusive substrato composto, terra vegetal, adubo orgânico, calcário e fertilizante</t>
  </si>
  <si>
    <t>200204</t>
  </si>
  <si>
    <t>Fornecimento e plantio de árvores ornamentais com altura mínima de 2,5m em cavas de 60x60x80cm</t>
  </si>
  <si>
    <t>200301</t>
  </si>
  <si>
    <t>Limpeza geral de obras (quadras, praças e jardins)</t>
  </si>
  <si>
    <t>200302</t>
  </si>
  <si>
    <t>Limpeza de vidros comum</t>
  </si>
  <si>
    <t>200401</t>
  </si>
  <si>
    <t>Conjunto de 03 mastros, para bandeira, em ferro galvanizado, 2 com 7,50m de altura e 1 com 9,0m de altura, nos diâmetros de 4", 3" e 2", inclusive base de concreto, conf. detalhe de projeto</t>
  </si>
  <si>
    <t>200402</t>
  </si>
  <si>
    <t>Corrimão em tubo de aço inox, d=1 1/2", com chumbador tipo parabolt, canoplas de acabamento.</t>
  </si>
  <si>
    <t>200403</t>
  </si>
  <si>
    <t>Guarda corpo em tubo de aço inox, de 2" e 1", H=1,30M, com montantes à cada 1,50m</t>
  </si>
  <si>
    <t>200404</t>
  </si>
  <si>
    <t>Rampa externa em piso cimentado anti-derrapante com ranhuras, na cor cinza claro com friso a cada 10cm, inclusive sarrafo de madeira 2.5x8.0 cm e base em concreto magro sobre terreno compactado, incl. tela Q92</t>
  </si>
  <si>
    <t>200405</t>
  </si>
  <si>
    <t>Pórticos em ACM incl. estrut. metálica p/ fixação , incl. montagem e sist. de trat. e pint. fundo prime epóxi(75µm), esmalte epóxi(125µm) e acab. em esmalte poliuretano(75µm)</t>
  </si>
  <si>
    <t>200406</t>
  </si>
  <si>
    <t>Fornecimento e instalação de cobertura com telha de policarbonato compacta translúcida e=4mm, inclusive estrutura de alumínio branca, calha e acessórios de fixação/sustentação em aço inoxidável</t>
  </si>
  <si>
    <t>200501</t>
  </si>
  <si>
    <t>Automação para portão de correr, motor de portão 500W, completo</t>
  </si>
  <si>
    <t>200502</t>
  </si>
  <si>
    <t>Fornecimento e instalação de gradil Nylofor 3D, Belgo ou similar, em painéis de (2,43x2,50)m, fixado por fixadores de poliamida e parafusos em poste (60x40)mm chumbados em mureta (exclusive), conforme projeto</t>
  </si>
  <si>
    <t>200503</t>
  </si>
  <si>
    <t>Portão de correr Nylofor 3D em chapa de aço zincado, c/ pintura eletrostática em poliéster pó, incl. batente em chapa dobrada em aço galv. e parte inferior em alumínio, em perfís búzio quadrado ou lambril, completo</t>
  </si>
  <si>
    <t>200504</t>
  </si>
  <si>
    <t>Portão de abrir duas folhas, Nylofor 3D em chapa aço zincado, c/ pint. eletrost. poliéster pó, incl. batente chapa dobrada aço galv. e trinco c/ porta cadeado/ cadeado e parte inf. em al, perfís búzio quadr. ou lambril, completo</t>
  </si>
  <si>
    <t>200505</t>
  </si>
  <si>
    <t>Portão de abrir uma folha, Nylofor 3D em chapa aço zincado, c/ pint. eletrost. poliéster pó, incl. batente chapa dobrada aço galv. e trinco c/ porta cadeado/ cadeado e parte inf. em al, perfís búzio quadr. ou lambril, completo</t>
  </si>
  <si>
    <t>Mureta de alvenaria de blocos concreto 10x20x20cm, com pilares a cada 2,5m, esp. 10cm e h=0.6m, revestido com chapisco, emboço, incl. pilares e cintas</t>
  </si>
  <si>
    <t>Peitoril de granito cinza polido, 21 cm, esp. 2cm inclusive pingadeira nos dois lados</t>
  </si>
  <si>
    <t>200508</t>
  </si>
  <si>
    <t>Portão abrir 2 folhas em tubo F. G. Ø11/2", perfil L em F. G.11/2"x3/16" e chapa de F. G. n°16 vincada, incl. chumb. e pintura c/ esm. sintético acet. , suvinil ou equiv., s/ fundo anticorrosivo.</t>
  </si>
  <si>
    <t>200509</t>
  </si>
  <si>
    <t>Portão correr em tubo de F. g. Ø 2", barra chata 11/2"x1/4" de F. G. e chapa de ferro galv. vincada n°16, Guia sup.perfil "U" 7,5x4cm, incl. chumb. e pint. c/ esm. sint. acet. , suvinil ou equiv., s/ fundo anticor</t>
  </si>
  <si>
    <t>Muro de alvenaria de blocos cerâmicos 10x20x20cm, c/ pilares a cada 3m, esp. 10cm e h=3m, revestido com chapisco e reboco, incl. pilares, cintas e sapatas</t>
  </si>
  <si>
    <t>200511</t>
  </si>
  <si>
    <t>Emassamento de paredes e forros, com duas demãos de massa acrílica, marcas de referência Suvinil, Coral ou Metalatex</t>
  </si>
  <si>
    <t>200512</t>
  </si>
  <si>
    <t>Pintura com tinta acrílica, marcas de referência Suvinil, Coral ou Metalatex, inclusive selador acrílico, em paredes e forros, a três demãos</t>
  </si>
  <si>
    <t>200513</t>
  </si>
  <si>
    <t>Goivete de perfil de alumínio anodizado cor natural 2" x 1"</t>
  </si>
  <si>
    <t>200601</t>
  </si>
  <si>
    <t>200602</t>
  </si>
  <si>
    <t>Demolição de madeiramento de cobertura, para telha ondulada de fibrocimento, sem reaproveitamento</t>
  </si>
  <si>
    <t>200603</t>
  </si>
  <si>
    <t>200604</t>
  </si>
  <si>
    <t>200605</t>
  </si>
  <si>
    <t>200606</t>
  </si>
  <si>
    <t>200607</t>
  </si>
  <si>
    <t>Fornecimento, preparo e aplicação de concreto Fck=20 MPa (brita 1 e 2) - (5% de perdas já incluído no custo)</t>
  </si>
  <si>
    <t>Recuperação de concreto estrutural, inclusive retirada do concreto solto, limpeza da ferragem com escova de aço, aplicação de SIKATOP 108 ARMATEK/equivalente e recomposição dos locais danificados com SIKAGROUT/equivalente</t>
  </si>
  <si>
    <t>200614</t>
  </si>
  <si>
    <t>Cobertura nova de telhas onduladas de fibrocimento 6.0mm,  inclusive cumeeiras e acessórios de fixação</t>
  </si>
  <si>
    <t>200615</t>
  </si>
  <si>
    <t>Rufo de chapa de alumínio esp. 0.5mm, largura de 30cm</t>
  </si>
  <si>
    <t>200616</t>
  </si>
  <si>
    <t>200617</t>
  </si>
  <si>
    <t>200618</t>
  </si>
  <si>
    <t>200619</t>
  </si>
  <si>
    <t>Goivete de perfil de alumínio anodizado cor natural tipo " U ", de 1/2'</t>
  </si>
  <si>
    <t>200620</t>
  </si>
  <si>
    <t>Armadura de tela de aço CA-60 (Q-92) Ø 4,20 mm, malha de 15 x 15 cm</t>
  </si>
  <si>
    <t>200621</t>
  </si>
  <si>
    <t>200622</t>
  </si>
  <si>
    <t>200623</t>
  </si>
  <si>
    <t xml:space="preserve">Luminária LED refletor retangular bivolt, luz branca, 50 W-6000k,  ref.: Ultra slim ou equivalente, fixada no muro face externa
</t>
  </si>
  <si>
    <t>200624</t>
  </si>
  <si>
    <t>Mini-Disjuntor monopolar 25 A, curva C - 5KA 220/127VCA (NBR IEC 60947-2), Ref. Siemens, GE, Schneider ou equivalente</t>
  </si>
  <si>
    <t>200625</t>
  </si>
  <si>
    <t>200626</t>
  </si>
  <si>
    <t>200627</t>
  </si>
  <si>
    <t>21</t>
  </si>
  <si>
    <t>SERVIÇOS COMPLEMENTARES INTERNOS</t>
  </si>
  <si>
    <t>210101</t>
  </si>
  <si>
    <t>Armário com portas e gavetas. Revestimento externo em fórmica e interno em laminado melamínico.</t>
  </si>
  <si>
    <t>210201</t>
  </si>
  <si>
    <t>210202</t>
  </si>
  <si>
    <t>210203</t>
  </si>
  <si>
    <t>Plataforma elevada de madeira (Palco), inclusive rampa</t>
  </si>
  <si>
    <t>22</t>
  </si>
  <si>
    <t>ABRIGO DE LIXO</t>
  </si>
  <si>
    <t>220101</t>
  </si>
  <si>
    <t>Alvenaria de blocos de concreto 14x19x39cm, c/ resist. mínimo a compres. 2.5 MPa, assent. c/ arg. de cimento, cal hidratada CH1 e areia no traço 1:0.5:8 esp. das juntas 10mm e esp. das paredes, s/ rev. 14cm</t>
  </si>
  <si>
    <t>220102</t>
  </si>
  <si>
    <t>220103</t>
  </si>
  <si>
    <t>220104</t>
  </si>
  <si>
    <t>Reboco de argamassa de cimento, cal hidratada CH1 e areia média ou grossa lavada no traço 1:0.5:6, espessura 5mm</t>
  </si>
  <si>
    <t>220105</t>
  </si>
  <si>
    <t>Cobogó de concreto 40 x 40 x 10 cm, tipo reto, assentados com argamassa de cimento e areia no traço 1:3, espessura das juntas 15 mm</t>
  </si>
  <si>
    <t>220106</t>
  </si>
  <si>
    <t>Tela de proteção das esquadrias em tela de nylon tipo mosquiteiro, inclusive, requadro em alumínio natural anodizado, conforme detalhe de projeto</t>
  </si>
  <si>
    <t>220107</t>
  </si>
  <si>
    <t>220201</t>
  </si>
  <si>
    <t>220202</t>
  </si>
  <si>
    <t>Cobertura nova de telhas onduladas de fibrocimento 8.0mm,  inclusive cumeeiras e acessórios de fixação</t>
  </si>
  <si>
    <t>220301</t>
  </si>
  <si>
    <t>Cerâmica dim. 30x60cm, forma Slim branca extra, marca de referência Eliane,  rejunte antifungo e e antimofo 3mm quartizolit weber, cor gelo., assentada com argamassa ACIII</t>
  </si>
  <si>
    <t>220302</t>
  </si>
  <si>
    <t>Pintura com tinta acrílica Suvinil, Coral ou Metalatex, inclusive selador acrílico, em paredes externas a três demãos</t>
  </si>
  <si>
    <t>220303</t>
  </si>
  <si>
    <t>220304</t>
  </si>
  <si>
    <t>220305</t>
  </si>
  <si>
    <t>Porcelanato natural, retificado, dim. 60x60cm, ref. Minimum Cimento, ref. Eliane ou equivalente, utilizando dupla colagem de argamassa ACIII e rejunte 1,5mm para porcelanato, cor cinza platina</t>
  </si>
  <si>
    <t>220306</t>
  </si>
  <si>
    <t>220307</t>
  </si>
  <si>
    <t>220308</t>
  </si>
  <si>
    <t xml:space="preserve"> </t>
  </si>
  <si>
    <t>Prazo de execução</t>
  </si>
  <si>
    <t>18meses</t>
  </si>
  <si>
    <t>dia subsequente</t>
  </si>
  <si>
    <t>Conclusão</t>
  </si>
  <si>
    <t>Publicação Contrato</t>
  </si>
  <si>
    <t>0102</t>
  </si>
  <si>
    <t>0103</t>
  </si>
  <si>
    <t>0202</t>
  </si>
  <si>
    <t>TAPUMES, BARRACÕES E COBERTURAS</t>
  </si>
  <si>
    <t>0302</t>
  </si>
  <si>
    <t>REATERRO E COMPACTAÇÃO</t>
  </si>
  <si>
    <t>0303</t>
  </si>
  <si>
    <t>TRANSPORTES</t>
  </si>
  <si>
    <t>0402</t>
  </si>
  <si>
    <t>SUPER-ESTRUTURA</t>
  </si>
  <si>
    <t>0403</t>
  </si>
  <si>
    <t>RECUPERAÇÃO DE ESTRUTURAS</t>
  </si>
  <si>
    <t>0501</t>
  </si>
  <si>
    <t>ALVENARIA DE VEDAÇÃO EMPREGANDO ARGAMASSA DE CIMENTO, CAL E AREIA</t>
  </si>
  <si>
    <t>0502</t>
  </si>
  <si>
    <t>PLACAS E PAINÉIS DIVISÓRIOS</t>
  </si>
  <si>
    <t>0503</t>
  </si>
  <si>
    <t>VERGAS/CONTRAVERGA</t>
  </si>
  <si>
    <t xml:space="preserve">SERVIÇOS EXTRAS </t>
  </si>
  <si>
    <t xml:space="preserve"> Tapume em chapa compensada esp = 6mm (1 uso)</t>
  </si>
  <si>
    <t>Estrut. metálica p/ quadra poliesp. coberta constituída por perfis formados a frio, aço estrutural ASTM A-570 G33 (terças) ASTM A-36 (demais perfis) c/ o sistema de trat. e pint conf descrito em notas da planilha.</t>
  </si>
  <si>
    <t>Kg</t>
  </si>
  <si>
    <t>Caixa de areia de alvenaria de blocos de concreto 14x19x39cm, dim. 60x60cm e Hmáx=1m, c/ tampa em concreto esp. 5cm, lastro concreto esp. 10cm, revestida intern. c/ chapisco e reboco impermeabilizante, incl. escavação e reaterro.</t>
  </si>
  <si>
    <t>Und</t>
  </si>
  <si>
    <t>Caixa sifonada especial em alv. bloco concr. 14x19x39cm, dim. 60x60cm e Hmáx=1m. c/ tampa em ferro fundido, lastro conc. esp.10cm, revest. int. c/ chap. e reboco imperm., incl. esc, reaterro e curva curta c/ visita e plug pvc 100mm.</t>
  </si>
  <si>
    <t xml:space="preserve"> Alvenaria de blocos de concreto 9x19x39cm, c/ resist. mínimo a compres. 2.5 MPa, assent. c/ arg. de cimento, cal hidratada CH1 e areia no traço 1:0.5:8 esp. das juntas 10mm e esp. das paredes, s/ rev. 9cm.</t>
  </si>
  <si>
    <t>KG</t>
  </si>
  <si>
    <t>01</t>
  </si>
  <si>
    <t>SERVIÇOS PRELIMINARES</t>
  </si>
  <si>
    <t>SUB TOTAL 23</t>
  </si>
  <si>
    <t>SERVIÇOS EXTRAS- 2° ADITIVO.</t>
  </si>
  <si>
    <t>SUB TOTAL 24</t>
  </si>
  <si>
    <t>Painéis em MDF Louro Freijó Poro- Arauco.</t>
  </si>
  <si>
    <t xml:space="preserve"> PLACA ACÚSTICA SUSPENSA TIPO "NUVEM" EM ESPUMA SEMIRRÍGIDA NA COR BRANCA, ESPESSURA 40MM E DIMENSÕES 1200X1200MM, Marca: Divisystem ou Similar. - INSTALADA.</t>
  </si>
  <si>
    <t>Pastilha 5X5Cm Acetinada Cor: Matiz Asfáltica- Marca Eliane.</t>
  </si>
  <si>
    <t xml:space="preserve">Soleira de granito preto são Gabriel esp. 2 cm </t>
  </si>
  <si>
    <t>Torneira de mesa bica móvel 1197 média, marca Deca, Docol, FABRIMAR ou equivalente</t>
  </si>
  <si>
    <t>Textura acrílica, aplicação manualç em parede, uma demão. AF_09/2016.</t>
  </si>
  <si>
    <t>Vigota pré-moldada TR08644, fornecimento e instalação.</t>
  </si>
  <si>
    <t>Reinstalação de grades - Delegacia de armas / SPEX</t>
  </si>
  <si>
    <t>Forro de Fibra Mineral em placas 1250x625mm, E= 15mm, COR: Preto- Alcor (Hunter Douglas), Boreal Plus Negro (Isover), Owa ou Similar.</t>
  </si>
  <si>
    <t>Guarita em Fibra de Vidro 1,20x1,20x2,20.</t>
  </si>
  <si>
    <t xml:space="preserve">Balcão granito preto absoluto esp.2cm, , acab. Semi-boleado </t>
  </si>
  <si>
    <t xml:space="preserve">Portinhola tipo vai-vem 80x90cm e Tampão de acesso 80X40cm ambos em madeira louro freijó poro arauco </t>
  </si>
  <si>
    <t xml:space="preserve">Barra de apoio reta em aço inox 304 para lavatório p/ portadores de necessidades especiais (NBR 9050), largura 25 cm </t>
  </si>
  <si>
    <t>Caixa de passagem de alvenaria de blocos de concreto 9x19x39cm, dimensões de 40x40x50cm, com revestimento interno em chapisco e reboco, tampa de concreto esp.5cm e lastro de brita 5 cm</t>
  </si>
  <si>
    <t>Arrancamento e reassentamento de paralelepipedos sobre coxim de areia</t>
  </si>
  <si>
    <t>Bancada em granito preto absoluto esp.2cm, apoiada em cantoneira 1.1/2"x1.1/2"x3/16" c/ tratamento antiferruginoso e pint. esmalte sintético, testeira de 10cm, acab. Semi-boleado excl. roda-banca</t>
  </si>
  <si>
    <t>Rodabancada em granito preto absoluto, esp. 2cm, h=10,0cm, acabamento polido com borda boleda, assentado com argamassa de cimento, cal hidratada e areia, incluindo rejuntamento com cimento preto</t>
  </si>
  <si>
    <t>Acabamento frontal p/ telha termoacústica trapezoidal 40, pintura na cor branca, marcas de referência Perfilor, Metform, Isoeste ou equivalente, inclusive acessório de fixação</t>
  </si>
  <si>
    <t>Película de controle solar FUME G5 Profissional INSULFILM - COLOCADO</t>
  </si>
  <si>
    <t>Luminária tipo arandela foco duplo em alumínio, cor preta, dicroica para soquete GU10 REF:40/2, SERRA, DIMLUX OU SIMILAR</t>
  </si>
  <si>
    <t>Luminária tipo spot quadrado de embutir face plana PAR20 - cor: Preta 13,5X13,5CM</t>
  </si>
  <si>
    <t>Luminária /Lustre pendente LED Linear com holofotes  - Cor: Preta 120 cm/47" - MARCA: QQLX.</t>
  </si>
  <si>
    <t>Trilho de sobrepor eletrificado com 5 SPOTS, 300CM, Inclusive SPOTS.</t>
  </si>
  <si>
    <t>Ponto para iluminação de emergência completo, inclusive bloco autônomo de iluminação 2x9W com tomada universal</t>
  </si>
  <si>
    <t>Perfil Linear 6cm com fita de led TC 3.000 K (paineis MDF)</t>
  </si>
  <si>
    <t>Eletroduto de aço galvanizado, diâmetro 85mm (3")</t>
  </si>
  <si>
    <t>Arame galvanizado 12 BWG (0.048 kg/m)</t>
  </si>
  <si>
    <t>Cabeçote de alumínio de 3"</t>
  </si>
  <si>
    <t>Eletroduto PEAD, cor preta, diam. 3", marca ref. Kanaflex ou equivalente</t>
  </si>
  <si>
    <t>Caixa para telefone padrão TELEMAR, dim. 1070 x 520 x 500 mm, com tampa de ferro tipo R2, assentada com argamassa de cimento, cal e areia</t>
  </si>
  <si>
    <t>Ponto para rede lógica em caixa 4" x 2"  de PVC rígido c/conector RJ-45, inclusive caixa 4" x 4" em PVC rígido com tampa cega</t>
  </si>
  <si>
    <t>Fornecimento de Unidade Evaporadora e Condensadora de Ar Condicionado tipo Split  Hi-Wall (Piso/Teto) de 60.000 BTU´s 220V - Ciclo Frio - Classificação A (Selo PROCEL), inclusive amortecedores vibra-stop</t>
  </si>
  <si>
    <t>Instalação de Unidade Evaporadora e Condensadora de Ar Condicionado tipo Split Inverter Piso Teto de 60.000 BTU´s 220V Trifásico - Ciclo Frio Classificação A (Selo PROCEL), inclusive amortecedores vibra-stop</t>
  </si>
  <si>
    <t>GUARITA - 2 UNIDADES</t>
  </si>
  <si>
    <t>ESCAVAÇÕES</t>
  </si>
  <si>
    <t>Aterro manual para regularização do terreno em areia, inclusive adensamento hidráulico e fornecimento do material (máximo de 100m3)</t>
  </si>
  <si>
    <t>Índice de preço para remoção de entulho decorrente da execução de obras (Classe A CONAMA - NBR 10.004 - Classe II-B), incluindo aluguel da caçamba, carga, transporte e descarga em área licenciada</t>
  </si>
  <si>
    <t>INFRA-ESTRUTURA (FUNDAÇÃO)</t>
  </si>
  <si>
    <t>Fôrma de tábua de madeira de 2.5 x 30.0 cm para fundações, levando-se em conta a utilização 5 vezes (incluido o material, corte, montagem, escoramento e desforma)</t>
  </si>
  <si>
    <t>Fornecimento, dobragem e colocação em fôrma, de armadura CA-50 A grossa diâmetro de 12.5 a 25.0 mm (1/2 a 1")</t>
  </si>
  <si>
    <t>Fornecimento e aplicação de concreto USINADO Fck=30 MPa - considerando lançamento MANUAL para INFRA-ESTRUTURA (5% de perdas já incluído no custo)</t>
  </si>
  <si>
    <t>Forma de chapas madeira compensada resinada, esp. 12mm, levando-se em conta a utilização 3 vezes, reforçadas com sarrafos de madeira de 2.5 x 10.0cm (incl material, corte, montagem, escoras em eucalipto e desforma)</t>
  </si>
  <si>
    <t>Fornecimento e aplicação de concreto USINADO Fck=30 MPa - considerando BOMBEAMENTO (5% de perdas já incluído no custo) (6% de taxa p/ concr. bombeavel)</t>
  </si>
  <si>
    <t>Alvenaria de blocos cerâmicos 10 furos 10x20x20cm, assentados c/argamassa de cimento, cal hidratada CH1 e areia traço 1:0,5:8, esp. das juntas 12mm e esp. das paredes s/revestimento, 10cm (bloco comprado na fábrica, posto obra)</t>
  </si>
  <si>
    <t xml:space="preserve"> ESQUADRIAS METÁLICAS (M2)</t>
  </si>
  <si>
    <t>Janela tipo maxim-ar para vidro em alumínio preto, linha 25, completa, incl. puxador com tranca, caixilho, alizar e contramarco, exclusive vidro (J1)</t>
  </si>
  <si>
    <t>Porta de abrir tipo veneziana em alumínio anodizado, linha 25, completa, incl. puxador com tranca, caixilho, alizar e contramarco (P1)</t>
  </si>
  <si>
    <t>Porta de abrir em alumínio preto, linha 25, com visor (60x85)cm, em vidro laminado espelhado cor prata esp 4mm completa, incl. puxador com tranca, caixilho, alizar e contramarco (P2)- exceto vidro</t>
  </si>
  <si>
    <t>Brise horizontal em aluminio anodizado natural com suporte em estrutura metálica, acabamento pintura epóxi branca, SM84(60°), perfuração T-2, REF.: Sulmetais, Hunter Douglas, Lumbrise ou equivalente.</t>
  </si>
  <si>
    <t>FERRAGENS</t>
  </si>
  <si>
    <t>VIDROS PARA ESQUADRIAS</t>
  </si>
  <si>
    <t>Vidro laminado refletivo na cor prata , com 4 mm de espessura</t>
  </si>
  <si>
    <t>Fornecimento e instalação de esquadria em aluminio anodizado cor preto, com vidro laminado refletivo cinza, esp.8mm plano, calçado em todo perfil com borracha 3m , 4mm de espessura.</t>
  </si>
  <si>
    <t>Marquise em esquadria em aluminio anodizado cor preto, vidro laminado 10mm incolor instalado sobre guarniçoes de borracha e colado com silicone structural Glazing, com cabo de aço 19mm, 6x4 WARRINGTON-SEALE - AACI,TORÇÃO regularà direita, pré formado, lubrificado, resistencia IPS.</t>
  </si>
  <si>
    <t>ESPELHOS</t>
  </si>
  <si>
    <t>ESTRUTURA</t>
  </si>
  <si>
    <t>Fornecimento e montagem de estrutura metálica para cobertura Guarita, inclusive sistema de tratamento de superficie e pintura.</t>
  </si>
  <si>
    <t>TELHADO</t>
  </si>
  <si>
    <t>Cobert. telha termoacust tipo forro aço galvalume TR40, e=0.43mm, pint. face. sup. branco,face inf. plana revest. Pelicula PVC Text., incl. acess. fix. nucleo isolante poliisocianurato "PIR" (inj cont) e=30mm, ref.Multitelha, Sto André</t>
  </si>
  <si>
    <t>RUFOS E CALHAS</t>
  </si>
  <si>
    <t>Calha de chapa de alumínio esp. 0.5mm, largura de 40cm</t>
  </si>
  <si>
    <t> REBAIXAMENTOS</t>
  </si>
  <si>
    <t>Forro PVC branco L = 20 cm, frisado, estruturado por perfis de aço galvanizado e tirantes rígidos fabricado de acordo com a NBR-14285, colocado</t>
  </si>
  <si>
    <t>REVESTIMENTO COM ARGAMASSA</t>
  </si>
  <si>
    <t>REVESTIMENTO EMPREGANDO ARGAMASSA DE CIMENTO, CAL E AREIA</t>
  </si>
  <si>
    <t>Emboço de argamassa de cimento, cal hidratada CH1 e areia média ou grossa lavada no traço 1:0.5:6, espessura 20 mm</t>
  </si>
  <si>
    <t>ACABAMENTOS</t>
  </si>
  <si>
    <t>Cerâmica retificada, acabamento brilhante, dim. 33x61cm, ref. de cor OVIEDO PURO BRANCO Biancogres/equiv. assentado com argamassa de cimento colante, inclusive rejuntamento com argamassapre-fabricada para rejunte</t>
  </si>
  <si>
    <t>Acabamento de perfil "U" em alumínio anodizado fosco 1/2"</t>
  </si>
  <si>
    <t>LASTRO DE CONTRAPISO</t>
  </si>
  <si>
    <t>Lastro de concreto não estrutural, espessura de 6 cm</t>
  </si>
  <si>
    <t>Piso de cimentado camurçado executado com argamassa de cimento e areia no traço 1:3, esp. 3.0cm</t>
  </si>
  <si>
    <t>Junta plástica 17 x 3 mm, para pisos corridos, inclusive fornecimento e colocação</t>
  </si>
  <si>
    <t>Porcelanato natural  retificado, acabamento acetinado, dim. 60x60cm, ref. Cemento Avório PEI-5, Biancogres, Portobelo, Eliane/equiv, utilizando dupla colagem de argamassa colante para porcelanato tipo ACIII e rejunte e rejunte 1mm para porcelanato cor corda/platina</t>
  </si>
  <si>
    <t>DEGRAUS, RODAPÉS, SOLEIRAS E PEITORIS</t>
  </si>
  <si>
    <t>Rodapé de granito branco siena esp. 2cm, h=10cm, assentado com argamassa de cimento colante, incl. rejuntamento com cimento colante</t>
  </si>
  <si>
    <t>Rodapé de granito Preto São Gabriel esp. 2cm, h=40cm, assentado com argamassa de cimento colante, incl. rejuntamento com cimento colante</t>
  </si>
  <si>
    <t>Soleira de granito branco siena esp. 2 cm e largura de 15 cm</t>
  </si>
  <si>
    <t>Tabeira em concreto camurçado larg.=15cm</t>
  </si>
  <si>
    <t>Peitoril em granito branco siena com pingadeira, 15cm, esp. 2cm</t>
  </si>
  <si>
    <t>REDE DE ÁGUA FRIA - TUBOS SOLDÁVEIS DE PVC</t>
  </si>
  <si>
    <t>Tubo de PVC rígido soldável marrom, DN 32mm (1"), inclusive conexões</t>
  </si>
  <si>
    <t>Tubo de PVC rígido soldável marrom, diâm. 40mm (1.1/4"), inclusive conexões</t>
  </si>
  <si>
    <t>REDE DE ÁGUA FRIA - CONEXÕES SOLDÁVEIS DE PVC</t>
  </si>
  <si>
    <t>Adaptador de PVC soldável com flanges livres para caixa d'água, diâmetro 25mm (3/4")</t>
  </si>
  <si>
    <t>Adaptador de PVC soldável com flanges livres para caixa d'água, diâmetro 32mm x 1"</t>
  </si>
  <si>
    <t>REDE DE ÁGUA FRIA - TORNEIRAS, REGISTROS, VÁLVULAS E METAIS</t>
  </si>
  <si>
    <t>Registro de gaveta bruto diam. 25mm (1")</t>
  </si>
  <si>
    <t>Registro de gaveta bruto diam. 32mm (11/4")</t>
  </si>
  <si>
    <t>Registro de gaveta bruto diam. 40mm (11/2")</t>
  </si>
  <si>
    <t>Registro de gaveta com canopla cromada diam. 25mm (1"), marcas de referência Fabrimar, Deca ou Docol</t>
  </si>
  <si>
    <t>REDE DE ÁGUA FRIA - OUTROS APARELHOS</t>
  </si>
  <si>
    <t>Reservatório de polietileno de 500 L, inclusive adaptadores com flanges de PVC e torneira de bóia de 3/4"</t>
  </si>
  <si>
    <t>REDE DE ESGOTO - TUBOS DE PVC  - ESGOTO E PLUVIAL</t>
  </si>
  <si>
    <t>Tubo PVC rígido drenagem pluvial série reforçada no diâmetro de 100mm incluindo escavação e aterro com areia.</t>
  </si>
  <si>
    <t>REDE DE ESGOTO - TUBOS DE PVC  - VENTILAÇÃO</t>
  </si>
  <si>
    <t>REDE DE ESGOTO - CAIXAS EMPREGANDO ARGAMASSA DE CIMENTO, CAL E AREIA - ESGOTO E PLUVIAL</t>
  </si>
  <si>
    <t>Caixa de inspeção em alv. bloco concreto 9x19x39cm, dim. 60x60cm e Hmáx=1m, c/ tampa de ferro fundido 40x40cm, lastro de concreto esp.10cm, revest. interno c/ chapisco e reboco impermeabiliz, incl. escavação, reaterro e enchimento</t>
  </si>
  <si>
    <t>Caixa de drenagem, em alv. Bloco conc 9x19x39cm, dim 60x60cm, c/ tampa em ferro fundido, lastro de brita com 50cm de espessura, conforme detalhe em projeto</t>
  </si>
  <si>
    <t>REDE DE ESGOTO - CAIXAS DE PVC / EQUIPAMENTOS</t>
  </si>
  <si>
    <t>Caixa sifonada em PVC, diâm. 150mm, com grelha e porta grelha quadrados, em aço inox</t>
  </si>
  <si>
    <t>Ralo hemisférico (formato abacaxi) em ferro fundido diâmetro 4" (100mm)</t>
  </si>
  <si>
    <t>Ponto de válvula de descarga, inclusive válvula (sem acabamento)</t>
  </si>
  <si>
    <t>DRENAGEM DA CLIMATIZAÇÃO</t>
  </si>
  <si>
    <t>QUADRO DE DISTRIBUIÇÃO</t>
  </si>
  <si>
    <t>Quadro de distribuição de energia, de embutir, com 24 divisões modulares, com barramento</t>
  </si>
  <si>
    <t>CAIXAS DE PASSAGEM</t>
  </si>
  <si>
    <t>Caixa octogonal de 4x4", em PVC, ref. Tigreflex ou equivalente</t>
  </si>
  <si>
    <t>Caixa de passagem 300x300x120mm, chapa 18, com tampa parafusada</t>
  </si>
  <si>
    <t>ELETRODUTOS E CONEXÕES DE PVC</t>
  </si>
  <si>
    <t>CHAVES, FUSIVEIS E DISJUNTORES</t>
  </si>
  <si>
    <t>Mini-Disjuntor monopolar 16A, curva C, 5kA, 127/220Vca, referência Siemens, GE, Schneider ou equivalente</t>
  </si>
  <si>
    <t>Mini-Disjuntor monopolar 20A, curva C, 5kA, 127/220Vca, referência Siemens, GE, Schneider ou equivalente</t>
  </si>
  <si>
    <t>Mini-Disjuntor bipolar 20A, curva C, 5kA, 127/220Vca, referência Siemens, GE, Schneider ou equivalente</t>
  </si>
  <si>
    <t>Mini-Disjuntor monopolar 40A, curva C, 5kA, 127/220Vca, referência Siemens, GE, Schneider ou equivalente</t>
  </si>
  <si>
    <t>Interruptor Diferencial Bipolar DR 40A, 30mA – 6kA, referência Siemens, Schneider, WEG ou equivalente</t>
  </si>
  <si>
    <t>Dispositivo de proteção contra surto (DPS) bipolar, 40kA, 275Vca, referência Siemens, Steck, Clamper ou equivalente</t>
  </si>
  <si>
    <t>FIOS E CABOS</t>
  </si>
  <si>
    <t>Fio de cobre termoplástico, com isolamento para 750V, seção de 4.0 mm2</t>
  </si>
  <si>
    <t>Fio de cobre termoplástico, com isolamento para 750V, seção de 10.0 mm2</t>
  </si>
  <si>
    <t>INSTALAÇÃO DO SISTEMA DE CLIMATIZAÇÃO</t>
  </si>
  <si>
    <t>Instalação de Linha frigorígena para interligação do sistema de climatização incl. acessórios de fixação, fita PVC auto-aderente e cabo PP, exclusive tubos de cobre da linha liquida e sucção, espuma elastomérica flexivel e gás refrigerante</t>
  </si>
  <si>
    <t>INSTALAÇÃO DE REDE LÓGICA</t>
  </si>
  <si>
    <t>Ponto para rede lógica em caixa 4" x 2" de PVC rígido c/conector RJ-45, inclusive caixa 4" x 4" em PVC rígido com tampa cega</t>
  </si>
  <si>
    <t>Fornecimento e instalação de Mini Rack de Parede Padrão 19" - 12 U´s x 570mm</t>
  </si>
  <si>
    <t>LOUÇAS</t>
  </si>
  <si>
    <t>Lavatório de louça branca sem coluna, marcas de referência Deca, Celite ou Ideal Standard, inclusive sifão, válvula e engates cromados, exclusive torneira</t>
  </si>
  <si>
    <t>BANCADAS</t>
  </si>
  <si>
    <t>TORNEIRAS, REGISTROS, VÁLVULAS E METAIS</t>
  </si>
  <si>
    <t>Torneira de pressão com acionamento manual e fechamento automatico, cromada diâm. 1/2", para lavatório, marcas de referência acquapress Fabrimar, presmatic Docol, Deca ou equivalente</t>
  </si>
  <si>
    <t>Torneira de mesa, bica alta móvel, cromada 1/2", modelo 1167, linha flex, ref.: Deca, Fabrimar, Docol ou equivalente</t>
  </si>
  <si>
    <t>OUTROS APARELHOS</t>
  </si>
  <si>
    <t>Cuba de embutir D=30cm em aço inox, Ref.: Tramontina, Docol, Strake ou equivalente</t>
  </si>
  <si>
    <t>Porta papel higiênico do tipo plástico ABS Rolão de 300 a 400m dimensões de referência 27,5x27x12cm</t>
  </si>
  <si>
    <t>LUMINÁRIAS</t>
  </si>
  <si>
    <t>Luminária arandela tipo tartaruga, de sobrepor, com 1 lâmpada led de 6 w, sem reator - fornecimento e instalação. af_02/2020</t>
  </si>
  <si>
    <t>Projetor externo de LED potência 50W, vida útil superior a 25.000 h, IP 66, temperatura de cor entre 5000K e 6500K (branco frio), ref. PBF 50 589 cód. 11193, marcas de referência Briwax, Brilia, Led Star, Kian ou equivalente</t>
  </si>
  <si>
    <t>INTERRUPTORES E TOMADAS</t>
  </si>
  <si>
    <t>Tomada padrão brasileiro linha branca, NBR 14136 2 polos + terra 10A/250V, com placa 4x2"</t>
  </si>
  <si>
    <t>Tomada padrão brasileiro linha branca, NBR 14136 2 polos + terra 20A/250V, com placa 4x2"</t>
  </si>
  <si>
    <t>Interruptor de uma tecla simples 10A/250V, com placa 4x2"</t>
  </si>
  <si>
    <t>Interruptor de duas teclas simples 10A/250V, com placa 4x2"</t>
  </si>
  <si>
    <t>Sensor de presença com fotocélula, fixação em parede - fornecimento e instalação. af_02/2020</t>
  </si>
  <si>
    <t>AR REFRIGERADO</t>
  </si>
  <si>
    <t>Fornecimento de Unidade Evaporadora e Condensadora de Ar Condicionado tipo Split Hi-Wall (Parede) de 9.000 BTU´s 220V - Ciclo Frio - Classificação A (Selo PROCEL), inclusive amortecedores vibra-stop</t>
  </si>
  <si>
    <t>SOBRE PAREDES E FORROS</t>
  </si>
  <si>
    <t>Pintura com tinta látex PVA, marcas de referência Suvinil, Coral ou Metalatex, inclusive selador, em paredes e forros, a três demãos</t>
  </si>
  <si>
    <t>DIVERSOS EXTERNOS</t>
  </si>
  <si>
    <t>Cancela de controle de acesso e de saída</t>
  </si>
  <si>
    <t>DIVERSOS INTERNOS</t>
  </si>
  <si>
    <t>Porta tipo Alçapão 70x70cm para acesso a área técnica em ferro com pintura na cor branco</t>
  </si>
  <si>
    <t>TRATAMENTO, CONSERVAÇÃO E LIMPEZA PÓS OBRA</t>
  </si>
  <si>
    <t>Limpeza geral da obra</t>
  </si>
  <si>
    <t>SUB TOTAL 25</t>
  </si>
  <si>
    <t>Fornecimento e instalação de PORTEIRO ELETRONICO+ FECHADURA+ FONTE 12V 7A+BATERIA 7A                                        Pessoas - Guarita 1 e Guarita 2</t>
  </si>
  <si>
    <t>34 meses</t>
  </si>
  <si>
    <t>25</t>
  </si>
  <si>
    <t>01/10/2025 A 14/10/2025</t>
  </si>
  <si>
    <t>PLANILHA DE MEDIÇÃO FINAL</t>
  </si>
  <si>
    <t>PAGANDO A GRAMA SOLICITADA</t>
  </si>
  <si>
    <t>ANDERSON SOLEIRA PORTA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</si>
</sst>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R$&quot;\ #,##0.00;[Red]\-&quot;R$&quot;\ #,##0.00"/>
    <numFmt numFmtId="43" formatCode="_-* #,##0.00_-;\-* #,##0.00_-;_-* &quot;-&quot;??_-;_-@_-"/>
    <numFmt numFmtId="164" formatCode="0.000%"/>
    <numFmt numFmtId="165" formatCode="mm/yy"/>
    <numFmt numFmtId="166" formatCode="_(* #,##0.00_);_(* \(#,##0.00\);_(* \-??_);_(@_)"/>
    <numFmt numFmtId="167" formatCode="#,##0.00;[Red]#,##0.00"/>
    <numFmt numFmtId="168" formatCode="&quot;R$ &quot;#,##0.00"/>
    <numFmt numFmtId="169" formatCode="#,##0.00_ ;\-#,##0.00\ "/>
    <numFmt numFmtId="170" formatCode="_(* #,##0.00_);_(* \(#,##0.00\);_(* &quot;-&quot;??_);_(@_)"/>
    <numFmt numFmtId="171" formatCode="_-* #,##0.000_-;\-* #,##0.000_-;_-* &quot;-&quot;??_-;_-@_-"/>
    <numFmt numFmtId="172" formatCode="_(* #,##0.0000_);_(* \(#,##0.0000\);_(* &quot;-&quot;??_);_(@_)"/>
    <numFmt numFmtId="173" formatCode="_-* #,##0.000_-;\-* #,##0.000_-;_-* &quot;-&quot;???_-;_-@_-"/>
    <numFmt numFmtId="174" formatCode="_(* #,##0.000_);_(* \(#,##0.000\);_(* &quot;-&quot;??_);_(@_)"/>
    <numFmt numFmtId="175" formatCode="00000"/>
    <numFmt numFmtId="176" formatCode="d/m;@"/>
    <numFmt numFmtId="177" formatCode="#,##0.0000"/>
  </numFmts>
  <fonts count="68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404040"/>
      <name val="Calibri Light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b/>
      <sz val="8"/>
      <color rgb="FF000000"/>
      <name val="Tahoma"/>
      <family val="2"/>
    </font>
    <font>
      <vertAlign val="superscript"/>
      <sz val="11"/>
      <color rgb="FF000000"/>
      <name val="Calibri"/>
      <family val="2"/>
    </font>
    <font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9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0" tint="-0.14999847407452621"/>
        <bgColor indexed="23"/>
      </patternFill>
    </fill>
    <fill>
      <patternFill patternType="solid">
        <fgColor theme="0" tint="-0.249977111117893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theme="0" tint="-4.9989318521683403E-2"/>
      </patternFill>
    </fill>
    <fill>
      <patternFill patternType="solid">
        <fgColor rgb="FF92D050"/>
        <bgColor indexed="64"/>
      </patternFill>
    </fill>
  </fills>
  <borders count="1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15" fillId="0" borderId="0"/>
    <xf numFmtId="166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>
      <alignment vertical="top"/>
    </xf>
    <xf numFmtId="17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>
      <alignment vertical="top"/>
    </xf>
    <xf numFmtId="170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98" applyNumberFormat="0" applyFill="0" applyAlignment="0" applyProtection="0"/>
    <xf numFmtId="0" fontId="49" fillId="0" borderId="99" applyNumberFormat="0" applyFill="0" applyAlignment="0" applyProtection="0"/>
    <xf numFmtId="0" fontId="50" fillId="0" borderId="100" applyNumberFormat="0" applyFill="0" applyAlignment="0" applyProtection="0"/>
    <xf numFmtId="0" fontId="50" fillId="0" borderId="0" applyNumberFormat="0" applyFill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3" fillId="16" borderId="0" applyNumberFormat="0" applyBorder="0" applyAlignment="0" applyProtection="0"/>
    <xf numFmtId="0" fontId="54" fillId="17" borderId="101" applyNumberFormat="0" applyAlignment="0" applyProtection="0"/>
    <xf numFmtId="0" fontId="55" fillId="18" borderId="102" applyNumberFormat="0" applyAlignment="0" applyProtection="0"/>
    <xf numFmtId="0" fontId="56" fillId="18" borderId="101" applyNumberFormat="0" applyAlignment="0" applyProtection="0"/>
    <xf numFmtId="0" fontId="57" fillId="0" borderId="103" applyNumberFormat="0" applyFill="0" applyAlignment="0" applyProtection="0"/>
    <xf numFmtId="0" fontId="58" fillId="19" borderId="104" applyNumberFormat="0" applyAlignment="0" applyProtection="0"/>
    <xf numFmtId="0" fontId="59" fillId="0" borderId="0" applyNumberFormat="0" applyFill="0" applyBorder="0" applyAlignment="0" applyProtection="0"/>
    <xf numFmtId="0" fontId="26" fillId="20" borderId="105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106" applyNumberFormat="0" applyFill="0" applyAlignment="0" applyProtection="0"/>
    <xf numFmtId="0" fontId="62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62" fillId="36" borderId="0" applyNumberFormat="0" applyBorder="0" applyAlignment="0" applyProtection="0"/>
    <xf numFmtId="0" fontId="62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62" fillId="44" borderId="0" applyNumberFormat="0" applyBorder="0" applyAlignment="0" applyProtection="0"/>
    <xf numFmtId="0" fontId="15" fillId="0" borderId="0"/>
    <xf numFmtId="170" fontId="66" fillId="0" borderId="0" applyFont="0" applyFill="0" applyBorder="0" applyAlignment="0" applyProtection="0"/>
  </cellStyleXfs>
  <cellXfs count="648">
    <xf numFmtId="0" fontId="0" fillId="0" borderId="0" xfId="0"/>
    <xf numFmtId="0" fontId="2" fillId="0" borderId="5" xfId="0" applyFont="1" applyBorder="1" applyAlignment="1">
      <alignment horizontal="left" vertical="center"/>
    </xf>
    <xf numFmtId="0" fontId="0" fillId="0" borderId="8" xfId="0" applyBorder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justify" vertical="center"/>
    </xf>
    <xf numFmtId="0" fontId="4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right" vertical="center"/>
    </xf>
    <xf numFmtId="4" fontId="0" fillId="0" borderId="0" xfId="0" applyNumberFormat="1"/>
    <xf numFmtId="4" fontId="8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/>
    </xf>
    <xf numFmtId="0" fontId="10" fillId="0" borderId="5" xfId="0" applyFont="1" applyBorder="1" applyAlignment="1">
      <alignment horizontal="left" vertical="center"/>
    </xf>
    <xf numFmtId="8" fontId="0" fillId="0" borderId="0" xfId="0" applyNumberFormat="1"/>
    <xf numFmtId="8" fontId="4" fillId="0" borderId="8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10" fontId="8" fillId="2" borderId="4" xfId="0" applyNumberFormat="1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/>
    <xf numFmtId="0" fontId="17" fillId="0" borderId="30" xfId="1" applyFont="1" applyBorder="1" applyAlignment="1">
      <alignment horizontal="center" vertical="center"/>
    </xf>
    <xf numFmtId="164" fontId="17" fillId="0" borderId="30" xfId="1" applyNumberFormat="1" applyFont="1" applyBorder="1" applyAlignment="1">
      <alignment horizontal="center" vertical="center"/>
    </xf>
    <xf numFmtId="165" fontId="17" fillId="0" borderId="29" xfId="1" applyNumberFormat="1" applyFont="1" applyBorder="1" applyAlignment="1">
      <alignment horizontal="center" vertical="center"/>
    </xf>
    <xf numFmtId="165" fontId="17" fillId="0" borderId="30" xfId="1" applyNumberFormat="1" applyFont="1" applyBorder="1" applyAlignment="1">
      <alignment horizontal="center" vertical="center"/>
    </xf>
    <xf numFmtId="0" fontId="15" fillId="0" borderId="31" xfId="1" applyBorder="1" applyAlignment="1">
      <alignment horizontal="center" vertical="center" wrapText="1"/>
    </xf>
    <xf numFmtId="0" fontId="15" fillId="0" borderId="30" xfId="1" applyBorder="1" applyAlignment="1">
      <alignment vertical="center" wrapText="1"/>
    </xf>
    <xf numFmtId="166" fontId="0" fillId="0" borderId="30" xfId="2" applyFont="1" applyFill="1" applyBorder="1" applyAlignment="1" applyProtection="1">
      <alignment vertical="center" wrapText="1"/>
    </xf>
    <xf numFmtId="10" fontId="0" fillId="0" borderId="30" xfId="3" applyNumberFormat="1" applyFont="1" applyFill="1" applyBorder="1" applyAlignment="1" applyProtection="1">
      <alignment vertical="center" wrapText="1"/>
    </xf>
    <xf numFmtId="39" fontId="15" fillId="0" borderId="30" xfId="1" applyNumberFormat="1" applyBorder="1" applyAlignment="1">
      <alignment horizontal="right" vertical="center"/>
    </xf>
    <xf numFmtId="39" fontId="15" fillId="0" borderId="27" xfId="1" applyNumberFormat="1" applyBorder="1" applyAlignment="1">
      <alignment horizontal="right" vertical="center"/>
    </xf>
    <xf numFmtId="39" fontId="15" fillId="0" borderId="32" xfId="1" applyNumberFormat="1" applyBorder="1" applyAlignment="1">
      <alignment horizontal="right" vertical="center"/>
    </xf>
    <xf numFmtId="0" fontId="18" fillId="0" borderId="31" xfId="1" applyFont="1" applyBorder="1" applyAlignment="1">
      <alignment horizontal="center" vertical="center" wrapText="1"/>
    </xf>
    <xf numFmtId="0" fontId="18" fillId="0" borderId="30" xfId="1" applyFont="1" applyBorder="1" applyAlignment="1">
      <alignment vertical="center" wrapText="1"/>
    </xf>
    <xf numFmtId="4" fontId="19" fillId="0" borderId="30" xfId="2" applyNumberFormat="1" applyFont="1" applyFill="1" applyBorder="1" applyAlignment="1" applyProtection="1">
      <alignment vertical="center" wrapText="1"/>
    </xf>
    <xf numFmtId="10" fontId="19" fillId="0" borderId="30" xfId="3" applyNumberFormat="1" applyFont="1" applyFill="1" applyBorder="1" applyAlignment="1" applyProtection="1">
      <alignment vertical="center" wrapText="1"/>
    </xf>
    <xf numFmtId="4" fontId="19" fillId="0" borderId="33" xfId="2" applyNumberFormat="1" applyFont="1" applyFill="1" applyBorder="1" applyAlignment="1" applyProtection="1">
      <alignment vertical="center" wrapText="1"/>
    </xf>
    <xf numFmtId="167" fontId="19" fillId="0" borderId="33" xfId="1" applyNumberFormat="1" applyFont="1" applyBorder="1" applyAlignment="1">
      <alignment horizontal="right" vertical="center"/>
    </xf>
    <xf numFmtId="167" fontId="15" fillId="0" borderId="0" xfId="1" applyNumberFormat="1"/>
    <xf numFmtId="166" fontId="19" fillId="0" borderId="30" xfId="2" applyFont="1" applyFill="1" applyBorder="1" applyAlignment="1" applyProtection="1">
      <alignment vertical="center" wrapText="1"/>
    </xf>
    <xf numFmtId="10" fontId="19" fillId="5" borderId="29" xfId="1" applyNumberFormat="1" applyFont="1" applyFill="1" applyBorder="1" applyAlignment="1">
      <alignment horizontal="right" vertical="center"/>
    </xf>
    <xf numFmtId="10" fontId="19" fillId="5" borderId="30" xfId="1" applyNumberFormat="1" applyFont="1" applyFill="1" applyBorder="1" applyAlignment="1">
      <alignment horizontal="right" vertical="center"/>
    </xf>
    <xf numFmtId="39" fontId="19" fillId="0" borderId="30" xfId="1" applyNumberFormat="1" applyFont="1" applyBorder="1" applyAlignment="1">
      <alignment horizontal="right" vertical="center"/>
    </xf>
    <xf numFmtId="39" fontId="19" fillId="0" borderId="27" xfId="1" applyNumberFormat="1" applyFont="1" applyBorder="1" applyAlignment="1">
      <alignment horizontal="right" vertical="center"/>
    </xf>
    <xf numFmtId="39" fontId="19" fillId="0" borderId="32" xfId="1" applyNumberFormat="1" applyFont="1" applyBorder="1" applyAlignment="1">
      <alignment horizontal="right" vertical="center"/>
    </xf>
    <xf numFmtId="0" fontId="15" fillId="0" borderId="31" xfId="1" applyBorder="1" applyAlignment="1">
      <alignment vertical="center"/>
    </xf>
    <xf numFmtId="0" fontId="17" fillId="0" borderId="30" xfId="1" applyFont="1" applyBorder="1" applyAlignment="1">
      <alignment vertical="center"/>
    </xf>
    <xf numFmtId="168" fontId="17" fillId="0" borderId="30" xfId="2" applyNumberFormat="1" applyFont="1" applyFill="1" applyBorder="1" applyAlignment="1" applyProtection="1">
      <alignment vertical="center"/>
    </xf>
    <xf numFmtId="10" fontId="17" fillId="0" borderId="30" xfId="3" applyNumberFormat="1" applyFont="1" applyFill="1" applyBorder="1" applyAlignment="1" applyProtection="1">
      <alignment vertical="center"/>
    </xf>
    <xf numFmtId="10" fontId="17" fillId="0" borderId="27" xfId="3" applyNumberFormat="1" applyFont="1" applyFill="1" applyBorder="1" applyAlignment="1" applyProtection="1">
      <alignment vertical="center"/>
    </xf>
    <xf numFmtId="10" fontId="17" fillId="0" borderId="32" xfId="3" applyNumberFormat="1" applyFont="1" applyFill="1" applyBorder="1" applyAlignment="1" applyProtection="1">
      <alignment vertical="center"/>
    </xf>
    <xf numFmtId="0" fontId="15" fillId="6" borderId="31" xfId="1" applyFill="1" applyBorder="1" applyAlignment="1">
      <alignment vertical="center"/>
    </xf>
    <xf numFmtId="164" fontId="19" fillId="6" borderId="30" xfId="1" applyNumberFormat="1" applyFont="1" applyFill="1" applyBorder="1" applyAlignment="1">
      <alignment horizontal="center" vertical="center"/>
    </xf>
    <xf numFmtId="39" fontId="19" fillId="6" borderId="30" xfId="1" applyNumberFormat="1" applyFont="1" applyFill="1" applyBorder="1" applyAlignment="1">
      <alignment horizontal="center" vertical="center"/>
    </xf>
    <xf numFmtId="39" fontId="15" fillId="0" borderId="0" xfId="1" applyNumberFormat="1"/>
    <xf numFmtId="0" fontId="19" fillId="6" borderId="27" xfId="1" applyFont="1" applyFill="1" applyBorder="1" applyAlignment="1">
      <alignment vertical="center"/>
    </xf>
    <xf numFmtId="4" fontId="19" fillId="6" borderId="32" xfId="1" applyNumberFormat="1" applyFont="1" applyFill="1" applyBorder="1" applyAlignment="1">
      <alignment horizontal="right" vertical="center"/>
    </xf>
    <xf numFmtId="166" fontId="19" fillId="6" borderId="30" xfId="2" applyFont="1" applyFill="1" applyBorder="1" applyAlignment="1" applyProtection="1">
      <alignment horizontal="center" vertical="center"/>
    </xf>
    <xf numFmtId="10" fontId="19" fillId="6" borderId="30" xfId="3" applyNumberFormat="1" applyFont="1" applyFill="1" applyBorder="1" applyAlignment="1" applyProtection="1">
      <alignment horizontal="center" vertical="center"/>
    </xf>
    <xf numFmtId="0" fontId="15" fillId="7" borderId="31" xfId="1" applyFill="1" applyBorder="1" applyAlignment="1">
      <alignment vertical="center"/>
    </xf>
    <xf numFmtId="0" fontId="19" fillId="7" borderId="30" xfId="1" applyFont="1" applyFill="1" applyBorder="1" applyAlignment="1">
      <alignment vertical="center"/>
    </xf>
    <xf numFmtId="4" fontId="19" fillId="7" borderId="30" xfId="1" applyNumberFormat="1" applyFont="1" applyFill="1" applyBorder="1" applyAlignment="1">
      <alignment horizontal="right" vertical="center"/>
    </xf>
    <xf numFmtId="166" fontId="19" fillId="7" borderId="30" xfId="2" applyFont="1" applyFill="1" applyBorder="1" applyAlignment="1" applyProtection="1">
      <alignment horizontal="center" vertical="center"/>
    </xf>
    <xf numFmtId="39" fontId="19" fillId="7" borderId="30" xfId="1" applyNumberFormat="1" applyFont="1" applyFill="1" applyBorder="1" applyAlignment="1">
      <alignment horizontal="center" vertical="center"/>
    </xf>
    <xf numFmtId="169" fontId="15" fillId="0" borderId="0" xfId="1" applyNumberFormat="1"/>
    <xf numFmtId="0" fontId="15" fillId="7" borderId="34" xfId="1" applyFill="1" applyBorder="1" applyAlignment="1">
      <alignment vertical="center"/>
    </xf>
    <xf numFmtId="0" fontId="19" fillId="7" borderId="33" xfId="1" applyFont="1" applyFill="1" applyBorder="1" applyAlignment="1">
      <alignment vertical="center"/>
    </xf>
    <xf numFmtId="0" fontId="19" fillId="7" borderId="33" xfId="1" applyFont="1" applyFill="1" applyBorder="1" applyAlignment="1">
      <alignment horizontal="right" vertical="center"/>
    </xf>
    <xf numFmtId="9" fontId="19" fillId="7" borderId="33" xfId="3" applyFont="1" applyFill="1" applyBorder="1" applyAlignment="1" applyProtection="1">
      <alignment horizontal="center" vertical="center"/>
    </xf>
    <xf numFmtId="10" fontId="19" fillId="7" borderId="33" xfId="3" applyNumberFormat="1" applyFont="1" applyFill="1" applyBorder="1" applyAlignment="1" applyProtection="1">
      <alignment horizontal="center" vertical="center"/>
    </xf>
    <xf numFmtId="43" fontId="15" fillId="0" borderId="0" xfId="1" applyNumberFormat="1"/>
    <xf numFmtId="167" fontId="19" fillId="0" borderId="35" xfId="1" applyNumberFormat="1" applyFont="1" applyBorder="1" applyAlignment="1">
      <alignment horizontal="right" vertical="center"/>
    </xf>
    <xf numFmtId="165" fontId="17" fillId="0" borderId="40" xfId="1" applyNumberFormat="1" applyFont="1" applyBorder="1" applyAlignment="1">
      <alignment horizontal="center" vertical="center"/>
    </xf>
    <xf numFmtId="39" fontId="15" fillId="0" borderId="40" xfId="1" applyNumberFormat="1" applyBorder="1" applyAlignment="1">
      <alignment horizontal="right" vertical="center"/>
    </xf>
    <xf numFmtId="167" fontId="19" fillId="0" borderId="41" xfId="1" applyNumberFormat="1" applyFont="1" applyBorder="1" applyAlignment="1">
      <alignment horizontal="right" vertical="center"/>
    </xf>
    <xf numFmtId="10" fontId="19" fillId="5" borderId="42" xfId="1" applyNumberFormat="1" applyFont="1" applyFill="1" applyBorder="1" applyAlignment="1">
      <alignment horizontal="right" vertical="center"/>
    </xf>
    <xf numFmtId="10" fontId="19" fillId="5" borderId="40" xfId="1" applyNumberFormat="1" applyFont="1" applyFill="1" applyBorder="1" applyAlignment="1">
      <alignment horizontal="right" vertical="center"/>
    </xf>
    <xf numFmtId="39" fontId="19" fillId="0" borderId="40" xfId="1" applyNumberFormat="1" applyFont="1" applyBorder="1" applyAlignment="1">
      <alignment horizontal="right" vertical="center"/>
    </xf>
    <xf numFmtId="10" fontId="17" fillId="0" borderId="40" xfId="3" applyNumberFormat="1" applyFont="1" applyFill="1" applyBorder="1" applyAlignment="1" applyProtection="1">
      <alignment vertical="center"/>
    </xf>
    <xf numFmtId="39" fontId="19" fillId="6" borderId="40" xfId="1" applyNumberFormat="1" applyFont="1" applyFill="1" applyBorder="1" applyAlignment="1">
      <alignment horizontal="center" vertical="center"/>
    </xf>
    <xf numFmtId="10" fontId="19" fillId="6" borderId="40" xfId="3" applyNumberFormat="1" applyFont="1" applyFill="1" applyBorder="1" applyAlignment="1" applyProtection="1">
      <alignment horizontal="center" vertical="center"/>
    </xf>
    <xf numFmtId="39" fontId="19" fillId="7" borderId="40" xfId="1" applyNumberFormat="1" applyFont="1" applyFill="1" applyBorder="1" applyAlignment="1">
      <alignment horizontal="center" vertical="center"/>
    </xf>
    <xf numFmtId="10" fontId="19" fillId="7" borderId="41" xfId="3" applyNumberFormat="1" applyFont="1" applyFill="1" applyBorder="1" applyAlignment="1" applyProtection="1">
      <alignment horizontal="center" vertical="center"/>
    </xf>
    <xf numFmtId="2" fontId="23" fillId="0" borderId="0" xfId="7" applyNumberFormat="1" applyFont="1">
      <alignment vertical="top"/>
    </xf>
    <xf numFmtId="2" fontId="24" fillId="0" borderId="0" xfId="7" applyNumberFormat="1" applyFont="1">
      <alignment vertical="top"/>
    </xf>
    <xf numFmtId="0" fontId="23" fillId="0" borderId="0" xfId="7" applyFont="1">
      <alignment vertical="top"/>
    </xf>
    <xf numFmtId="170" fontId="24" fillId="0" borderId="10" xfId="8" applyFont="1" applyFill="1" applyBorder="1" applyAlignment="1">
      <alignment horizontal="center" vertical="center"/>
    </xf>
    <xf numFmtId="2" fontId="24" fillId="0" borderId="15" xfId="7" applyNumberFormat="1" applyFont="1" applyBorder="1" applyAlignment="1">
      <alignment horizontal="center" vertical="center"/>
    </xf>
    <xf numFmtId="0" fontId="20" fillId="9" borderId="15" xfId="7" applyFont="1" applyFill="1" applyBorder="1" applyAlignment="1">
      <alignment horizontal="center" wrapText="1"/>
    </xf>
    <xf numFmtId="0" fontId="20" fillId="9" borderId="15" xfId="7" applyFont="1" applyFill="1" applyBorder="1" applyAlignment="1">
      <alignment wrapText="1"/>
    </xf>
    <xf numFmtId="170" fontId="24" fillId="9" borderId="15" xfId="8" applyFont="1" applyFill="1" applyBorder="1" applyAlignment="1">
      <alignment horizontal="right" vertical="top" wrapText="1"/>
    </xf>
    <xf numFmtId="2" fontId="24" fillId="9" borderId="15" xfId="7" applyNumberFormat="1" applyFont="1" applyFill="1" applyBorder="1" applyAlignment="1">
      <alignment horizontal="right" vertical="top"/>
    </xf>
    <xf numFmtId="2" fontId="24" fillId="0" borderId="15" xfId="7" applyNumberFormat="1" applyFont="1" applyBorder="1" applyAlignment="1">
      <alignment horizontal="right" vertical="center"/>
    </xf>
    <xf numFmtId="0" fontId="20" fillId="0" borderId="50" xfId="7" applyFont="1" applyBorder="1" applyAlignment="1">
      <alignment horizontal="center" wrapText="1"/>
    </xf>
    <xf numFmtId="0" fontId="20" fillId="0" borderId="50" xfId="7" applyFont="1" applyBorder="1" applyAlignment="1">
      <alignment wrapText="1"/>
    </xf>
    <xf numFmtId="170" fontId="24" fillId="0" borderId="50" xfId="8" applyFont="1" applyFill="1" applyBorder="1" applyAlignment="1">
      <alignment horizontal="right" vertical="top" wrapText="1"/>
    </xf>
    <xf numFmtId="2" fontId="24" fillId="0" borderId="50" xfId="7" applyNumberFormat="1" applyFont="1" applyBorder="1" applyAlignment="1">
      <alignment horizontal="right" vertical="top"/>
    </xf>
    <xf numFmtId="0" fontId="20" fillId="0" borderId="51" xfId="7" applyFont="1" applyBorder="1" applyAlignment="1">
      <alignment horizontal="center" wrapText="1"/>
    </xf>
    <xf numFmtId="0" fontId="20" fillId="0" borderId="51" xfId="7" applyFont="1" applyBorder="1" applyAlignment="1">
      <alignment wrapText="1"/>
    </xf>
    <xf numFmtId="170" fontId="24" fillId="0" borderId="51" xfId="8" applyFont="1" applyFill="1" applyBorder="1" applyAlignment="1">
      <alignment horizontal="right" vertical="top" wrapText="1"/>
    </xf>
    <xf numFmtId="2" fontId="24" fillId="0" borderId="51" xfId="7" applyNumberFormat="1" applyFont="1" applyBorder="1" applyAlignment="1">
      <alignment horizontal="right" vertical="top"/>
    </xf>
    <xf numFmtId="170" fontId="23" fillId="0" borderId="51" xfId="8" applyFont="1" applyFill="1" applyBorder="1" applyAlignment="1">
      <alignment horizontal="right" vertical="top" wrapText="1"/>
    </xf>
    <xf numFmtId="2" fontId="23" fillId="0" borderId="15" xfId="7" applyNumberFormat="1" applyFont="1" applyBorder="1" applyAlignment="1">
      <alignment horizontal="right" vertical="top"/>
    </xf>
    <xf numFmtId="0" fontId="15" fillId="0" borderId="51" xfId="7" applyBorder="1" applyAlignment="1">
      <alignment horizontal="center" wrapText="1"/>
    </xf>
    <xf numFmtId="2" fontId="23" fillId="0" borderId="15" xfId="7" applyNumberFormat="1" applyFont="1" applyBorder="1">
      <alignment vertical="top"/>
    </xf>
    <xf numFmtId="0" fontId="15" fillId="0" borderId="56" xfId="7" applyBorder="1" applyAlignment="1">
      <alignment horizontal="center" wrapText="1"/>
    </xf>
    <xf numFmtId="0" fontId="15" fillId="10" borderId="15" xfId="7" applyFill="1" applyBorder="1" applyAlignment="1">
      <alignment horizontal="center" wrapText="1"/>
    </xf>
    <xf numFmtId="0" fontId="20" fillId="10" borderId="15" xfId="7" applyFont="1" applyFill="1" applyBorder="1" applyAlignment="1">
      <alignment wrapText="1"/>
    </xf>
    <xf numFmtId="170" fontId="23" fillId="10" borderId="15" xfId="8" applyFont="1" applyFill="1" applyBorder="1" applyAlignment="1">
      <alignment horizontal="right" vertical="top" wrapText="1"/>
    </xf>
    <xf numFmtId="170" fontId="24" fillId="10" borderId="15" xfId="8" applyFont="1" applyFill="1" applyBorder="1" applyAlignment="1">
      <alignment horizontal="right" vertical="top" wrapText="1"/>
    </xf>
    <xf numFmtId="0" fontId="15" fillId="0" borderId="44" xfId="7" applyBorder="1" applyAlignment="1">
      <alignment horizontal="center" wrapText="1"/>
    </xf>
    <xf numFmtId="0" fontId="15" fillId="0" borderId="44" xfId="7" applyBorder="1" applyAlignment="1">
      <alignment wrapText="1"/>
    </xf>
    <xf numFmtId="2" fontId="23" fillId="0" borderId="44" xfId="7" applyNumberFormat="1" applyFont="1" applyBorder="1" applyAlignment="1">
      <alignment horizontal="right" vertical="top" wrapText="1"/>
    </xf>
    <xf numFmtId="170" fontId="23" fillId="0" borderId="44" xfId="8" applyFont="1" applyFill="1" applyBorder="1" applyAlignment="1">
      <alignment horizontal="right" vertical="top" wrapText="1"/>
    </xf>
    <xf numFmtId="4" fontId="23" fillId="0" borderId="44" xfId="8" applyNumberFormat="1" applyFont="1" applyFill="1" applyBorder="1" applyAlignment="1">
      <alignment horizontal="right" vertical="top" wrapText="1"/>
    </xf>
    <xf numFmtId="4" fontId="24" fillId="0" borderId="44" xfId="7" applyNumberFormat="1" applyFont="1" applyBorder="1" applyAlignment="1">
      <alignment horizontal="right" vertical="top"/>
    </xf>
    <xf numFmtId="49" fontId="23" fillId="0" borderId="0" xfId="7" applyNumberFormat="1" applyFont="1" applyAlignment="1">
      <alignment horizontal="center" vertical="top" wrapText="1"/>
    </xf>
    <xf numFmtId="170" fontId="23" fillId="0" borderId="0" xfId="8" applyFont="1" applyFill="1" applyAlignment="1">
      <alignment vertical="top"/>
    </xf>
    <xf numFmtId="2" fontId="23" fillId="0" borderId="0" xfId="8" applyNumberFormat="1" applyFont="1" applyFill="1" applyAlignment="1">
      <alignment horizontal="center" vertical="top"/>
    </xf>
    <xf numFmtId="0" fontId="24" fillId="0" borderId="0" xfId="7" applyFo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5" fillId="0" borderId="50" xfId="4" applyFont="1" applyBorder="1" applyAlignment="1">
      <alignment horizontal="center" vertical="center" wrapText="1"/>
    </xf>
    <xf numFmtId="0" fontId="25" fillId="0" borderId="50" xfId="4" applyFont="1" applyBorder="1" applyAlignment="1">
      <alignment horizontal="left" vertical="center" wrapText="1"/>
    </xf>
    <xf numFmtId="4" fontId="25" fillId="0" borderId="50" xfId="5" applyNumberFormat="1" applyFont="1" applyFill="1" applyBorder="1" applyAlignment="1">
      <alignment horizontal="center" vertical="center" wrapText="1"/>
    </xf>
    <xf numFmtId="4" fontId="18" fillId="0" borderId="50" xfId="5" applyNumberFormat="1" applyFont="1" applyFill="1" applyBorder="1" applyAlignment="1">
      <alignment horizontal="center" vertical="center" wrapText="1"/>
    </xf>
    <xf numFmtId="170" fontId="24" fillId="0" borderId="51" xfId="8" applyFont="1" applyFill="1" applyBorder="1" applyAlignment="1">
      <alignment horizontal="center" vertical="center" wrapText="1"/>
    </xf>
    <xf numFmtId="170" fontId="24" fillId="0" borderId="51" xfId="8" applyFont="1" applyFill="1" applyBorder="1" applyAlignment="1">
      <alignment horizontal="right" vertical="center" wrapText="1"/>
    </xf>
    <xf numFmtId="0" fontId="20" fillId="0" borderId="51" xfId="7" applyFont="1" applyBorder="1" applyAlignment="1">
      <alignment horizontal="center" vertical="center" wrapText="1"/>
    </xf>
    <xf numFmtId="0" fontId="20" fillId="0" borderId="51" xfId="7" applyFont="1" applyBorder="1" applyAlignment="1">
      <alignment vertical="center" wrapText="1"/>
    </xf>
    <xf numFmtId="9" fontId="23" fillId="0" borderId="51" xfId="10" applyFont="1" applyFill="1" applyBorder="1" applyAlignment="1">
      <alignment horizontal="right" vertical="top" wrapText="1"/>
    </xf>
    <xf numFmtId="170" fontId="24" fillId="9" borderId="47" xfId="8" applyFont="1" applyFill="1" applyBorder="1" applyAlignment="1">
      <alignment horizontal="right" vertical="top" wrapText="1"/>
    </xf>
    <xf numFmtId="170" fontId="24" fillId="11" borderId="51" xfId="8" applyFont="1" applyFill="1" applyBorder="1" applyAlignment="1">
      <alignment horizontal="center" vertical="center" wrapText="1"/>
    </xf>
    <xf numFmtId="170" fontId="23" fillId="0" borderId="0" xfId="8" applyFont="1" applyFill="1" applyAlignment="1">
      <alignment horizontal="center" vertical="top"/>
    </xf>
    <xf numFmtId="0" fontId="15" fillId="0" borderId="51" xfId="7" applyBorder="1" applyAlignment="1">
      <alignment horizontal="right" wrapText="1"/>
    </xf>
    <xf numFmtId="0" fontId="30" fillId="0" borderId="51" xfId="7" applyFont="1" applyBorder="1" applyAlignment="1">
      <alignment wrapText="1"/>
    </xf>
    <xf numFmtId="0" fontId="28" fillId="0" borderId="51" xfId="7" applyFont="1" applyBorder="1" applyAlignment="1">
      <alignment horizontal="right" wrapText="1"/>
    </xf>
    <xf numFmtId="0" fontId="30" fillId="0" borderId="51" xfId="7" applyFont="1" applyBorder="1" applyAlignment="1">
      <alignment horizontal="right" wrapText="1"/>
    </xf>
    <xf numFmtId="2" fontId="23" fillId="0" borderId="51" xfId="7" applyNumberFormat="1" applyFont="1" applyBorder="1" applyAlignment="1">
      <alignment horizontal="right" vertical="center"/>
    </xf>
    <xf numFmtId="8" fontId="23" fillId="0" borderId="0" xfId="7" applyNumberFormat="1" applyFont="1">
      <alignment vertical="top"/>
    </xf>
    <xf numFmtId="9" fontId="23" fillId="0" borderId="0" xfId="10" applyFont="1" applyFill="1" applyAlignment="1">
      <alignment vertical="top"/>
    </xf>
    <xf numFmtId="10" fontId="23" fillId="0" borderId="0" xfId="10" applyNumberFormat="1" applyFont="1" applyFill="1" applyAlignment="1">
      <alignment vertical="top"/>
    </xf>
    <xf numFmtId="4" fontId="23" fillId="0" borderId="0" xfId="7" applyNumberFormat="1" applyFont="1">
      <alignment vertical="top"/>
    </xf>
    <xf numFmtId="170" fontId="24" fillId="0" borderId="69" xfId="8" applyFont="1" applyFill="1" applyBorder="1" applyAlignment="1">
      <alignment horizontal="right" vertical="top" wrapText="1"/>
    </xf>
    <xf numFmtId="9" fontId="23" fillId="0" borderId="69" xfId="10" applyFont="1" applyFill="1" applyBorder="1" applyAlignment="1">
      <alignment horizontal="right" vertical="top" wrapText="1"/>
    </xf>
    <xf numFmtId="2" fontId="24" fillId="0" borderId="70" xfId="7" applyNumberFormat="1" applyFont="1" applyBorder="1" applyAlignment="1">
      <alignment horizontal="right" vertical="top"/>
    </xf>
    <xf numFmtId="0" fontId="28" fillId="0" borderId="68" xfId="7" applyFont="1" applyBorder="1" applyAlignment="1">
      <alignment horizontal="center" wrapText="1"/>
    </xf>
    <xf numFmtId="9" fontId="23" fillId="0" borderId="51" xfId="10" applyFont="1" applyFill="1" applyBorder="1" applyAlignment="1">
      <alignment horizontal="center" vertical="top" wrapText="1"/>
    </xf>
    <xf numFmtId="170" fontId="23" fillId="0" borderId="0" xfId="8" applyFont="1" applyFill="1" applyBorder="1" applyAlignment="1">
      <alignment horizontal="right" vertical="top" wrapText="1"/>
    </xf>
    <xf numFmtId="170" fontId="24" fillId="0" borderId="0" xfId="8" applyFont="1" applyFill="1" applyBorder="1" applyAlignment="1">
      <alignment horizontal="center" vertical="center" wrapText="1"/>
    </xf>
    <xf numFmtId="2" fontId="23" fillId="0" borderId="51" xfId="7" applyNumberFormat="1" applyFont="1" applyBorder="1" applyAlignment="1">
      <alignment horizontal="right" vertical="top"/>
    </xf>
    <xf numFmtId="170" fontId="24" fillId="11" borderId="51" xfId="8" applyFont="1" applyFill="1" applyBorder="1" applyAlignment="1">
      <alignment horizontal="right" vertical="top" wrapText="1"/>
    </xf>
    <xf numFmtId="4" fontId="23" fillId="10" borderId="15" xfId="7" applyNumberFormat="1" applyFont="1" applyFill="1" applyBorder="1" applyAlignment="1">
      <alignment horizontal="right" vertical="top"/>
    </xf>
    <xf numFmtId="170" fontId="23" fillId="0" borderId="0" xfId="8" applyFont="1" applyFill="1" applyAlignment="1">
      <alignment horizontal="center" vertical="center"/>
    </xf>
    <xf numFmtId="170" fontId="24" fillId="0" borderId="0" xfId="8" applyFont="1" applyFill="1" applyAlignment="1">
      <alignment horizontal="center" vertical="top"/>
    </xf>
    <xf numFmtId="9" fontId="24" fillId="11" borderId="51" xfId="10" applyFont="1" applyFill="1" applyBorder="1" applyAlignment="1">
      <alignment horizontal="center" vertical="top" wrapText="1"/>
    </xf>
    <xf numFmtId="0" fontId="20" fillId="11" borderId="51" xfId="7" applyFont="1" applyFill="1" applyBorder="1" applyAlignment="1">
      <alignment horizontal="right" wrapText="1"/>
    </xf>
    <xf numFmtId="171" fontId="23" fillId="11" borderId="51" xfId="9" applyNumberFormat="1" applyFont="1" applyFill="1" applyBorder="1" applyAlignment="1">
      <alignment horizontal="right" vertical="top" wrapText="1"/>
    </xf>
    <xf numFmtId="0" fontId="23" fillId="11" borderId="51" xfId="10" applyNumberFormat="1" applyFont="1" applyFill="1" applyBorder="1" applyAlignment="1">
      <alignment horizontal="right" vertical="top" wrapText="1"/>
    </xf>
    <xf numFmtId="170" fontId="23" fillId="11" borderId="51" xfId="8" applyFont="1" applyFill="1" applyBorder="1" applyAlignment="1">
      <alignment horizontal="right" vertical="top" wrapText="1"/>
    </xf>
    <xf numFmtId="2" fontId="23" fillId="11" borderId="51" xfId="7" applyNumberFormat="1" applyFont="1" applyFill="1" applyBorder="1" applyAlignment="1">
      <alignment horizontal="right" vertical="top"/>
    </xf>
    <xf numFmtId="43" fontId="23" fillId="0" borderId="51" xfId="9" applyFont="1" applyFill="1" applyBorder="1" applyAlignment="1">
      <alignment vertical="top" wrapText="1"/>
    </xf>
    <xf numFmtId="0" fontId="15" fillId="0" borderId="51" xfId="7" applyBorder="1" applyAlignment="1">
      <alignment horizontal="right" vertical="center" wrapText="1"/>
    </xf>
    <xf numFmtId="43" fontId="23" fillId="0" borderId="51" xfId="10" applyNumberFormat="1" applyFont="1" applyFill="1" applyBorder="1" applyAlignment="1">
      <alignment horizontal="right" vertical="top" wrapText="1"/>
    </xf>
    <xf numFmtId="0" fontId="20" fillId="0" borderId="57" xfId="7" applyFont="1" applyBorder="1" applyAlignment="1">
      <alignment horizontal="center" wrapText="1"/>
    </xf>
    <xf numFmtId="0" fontId="30" fillId="0" borderId="57" xfId="7" applyFont="1" applyBorder="1" applyAlignment="1">
      <alignment horizontal="right" wrapText="1"/>
    </xf>
    <xf numFmtId="170" fontId="24" fillId="0" borderId="57" xfId="8" applyFont="1" applyFill="1" applyBorder="1" applyAlignment="1">
      <alignment horizontal="right" vertical="top" wrapText="1"/>
    </xf>
    <xf numFmtId="43" fontId="23" fillId="0" borderId="57" xfId="10" applyNumberFormat="1" applyFont="1" applyFill="1" applyBorder="1" applyAlignment="1">
      <alignment horizontal="right" vertical="top" wrapText="1"/>
    </xf>
    <xf numFmtId="2" fontId="23" fillId="0" borderId="57" xfId="7" applyNumberFormat="1" applyFont="1" applyBorder="1" applyAlignment="1">
      <alignment horizontal="right" vertical="top"/>
    </xf>
    <xf numFmtId="14" fontId="0" fillId="0" borderId="0" xfId="0" applyNumberFormat="1" applyAlignment="1">
      <alignment horizontal="center"/>
    </xf>
    <xf numFmtId="170" fontId="24" fillId="0" borderId="56" xfId="8" applyFont="1" applyFill="1" applyBorder="1" applyAlignment="1">
      <alignment horizontal="center" vertical="center" wrapText="1"/>
    </xf>
    <xf numFmtId="172" fontId="24" fillId="10" borderId="15" xfId="8" applyNumberFormat="1" applyFont="1" applyFill="1" applyBorder="1" applyAlignment="1">
      <alignment horizontal="right" vertical="top" wrapText="1"/>
    </xf>
    <xf numFmtId="43" fontId="24" fillId="0" borderId="51" xfId="9" applyFont="1" applyFill="1" applyBorder="1" applyAlignment="1">
      <alignment vertical="top" wrapText="1"/>
    </xf>
    <xf numFmtId="43" fontId="24" fillId="0" borderId="50" xfId="9" applyFont="1" applyFill="1" applyBorder="1" applyAlignment="1">
      <alignment horizontal="center" vertical="center" wrapText="1"/>
    </xf>
    <xf numFmtId="43" fontId="24" fillId="11" borderId="51" xfId="8" applyNumberFormat="1" applyFont="1" applyFill="1" applyBorder="1" applyAlignment="1">
      <alignment horizontal="center" vertical="center" wrapText="1"/>
    </xf>
    <xf numFmtId="43" fontId="24" fillId="0" borderId="51" xfId="7" applyNumberFormat="1" applyFont="1" applyBorder="1" applyAlignment="1">
      <alignment horizontal="right" vertical="center"/>
    </xf>
    <xf numFmtId="2" fontId="24" fillId="0" borderId="48" xfId="7" applyNumberFormat="1" applyFont="1" applyBorder="1" applyAlignment="1">
      <alignment horizontal="center" vertical="center"/>
    </xf>
    <xf numFmtId="2" fontId="24" fillId="9" borderId="47" xfId="7" applyNumberFormat="1" applyFont="1" applyFill="1" applyBorder="1" applyAlignment="1">
      <alignment horizontal="right" vertical="top"/>
    </xf>
    <xf numFmtId="170" fontId="24" fillId="0" borderId="13" xfId="8" applyFont="1" applyFill="1" applyBorder="1" applyAlignment="1">
      <alignment horizontal="center" vertical="center"/>
    </xf>
    <xf numFmtId="0" fontId="20" fillId="9" borderId="47" xfId="7" applyFont="1" applyFill="1" applyBorder="1" applyAlignment="1">
      <alignment horizontal="center" wrapText="1"/>
    </xf>
    <xf numFmtId="0" fontId="20" fillId="9" borderId="47" xfId="7" applyFont="1" applyFill="1" applyBorder="1" applyAlignment="1">
      <alignment wrapText="1"/>
    </xf>
    <xf numFmtId="2" fontId="24" fillId="0" borderId="75" xfId="7" applyNumberFormat="1" applyFont="1" applyBorder="1" applyAlignment="1">
      <alignment horizontal="center" vertical="center"/>
    </xf>
    <xf numFmtId="2" fontId="24" fillId="0" borderId="76" xfId="7" applyNumberFormat="1" applyFont="1" applyBorder="1" applyAlignment="1">
      <alignment horizontal="center" vertical="center"/>
    </xf>
    <xf numFmtId="49" fontId="23" fillId="8" borderId="0" xfId="7" applyNumberFormat="1" applyFont="1" applyFill="1" applyAlignment="1">
      <alignment horizontal="center" vertical="top" wrapText="1"/>
    </xf>
    <xf numFmtId="170" fontId="31" fillId="8" borderId="0" xfId="8" applyFont="1" applyFill="1" applyBorder="1" applyAlignment="1">
      <alignment vertical="top" wrapText="1"/>
    </xf>
    <xf numFmtId="170" fontId="31" fillId="8" borderId="0" xfId="8" applyFont="1" applyFill="1" applyBorder="1" applyAlignment="1">
      <alignment vertical="top"/>
    </xf>
    <xf numFmtId="170" fontId="31" fillId="8" borderId="0" xfId="8" applyFont="1" applyFill="1" applyBorder="1" applyAlignment="1">
      <alignment horizontal="left" vertical="top"/>
    </xf>
    <xf numFmtId="170" fontId="32" fillId="8" borderId="0" xfId="8" applyFont="1" applyFill="1" applyBorder="1" applyAlignment="1">
      <alignment horizontal="left" vertical="top"/>
    </xf>
    <xf numFmtId="2" fontId="32" fillId="8" borderId="0" xfId="8" applyNumberFormat="1" applyFont="1" applyFill="1" applyBorder="1" applyAlignment="1">
      <alignment horizontal="left" vertical="top"/>
    </xf>
    <xf numFmtId="0" fontId="31" fillId="8" borderId="0" xfId="7" applyFont="1" applyFill="1" applyAlignment="1">
      <alignment horizontal="left" vertical="top"/>
    </xf>
    <xf numFmtId="0" fontId="32" fillId="8" borderId="0" xfId="7" applyFont="1" applyFill="1" applyAlignment="1">
      <alignment vertical="top" wrapText="1"/>
    </xf>
    <xf numFmtId="0" fontId="30" fillId="0" borderId="68" xfId="7" applyFont="1" applyBorder="1" applyAlignment="1">
      <alignment horizontal="right" wrapText="1"/>
    </xf>
    <xf numFmtId="0" fontId="28" fillId="0" borderId="51" xfId="7" applyFont="1" applyBorder="1" applyAlignment="1">
      <alignment horizontal="center" wrapText="1"/>
    </xf>
    <xf numFmtId="10" fontId="23" fillId="0" borderId="51" xfId="10" applyNumberFormat="1" applyFont="1" applyFill="1" applyBorder="1" applyAlignment="1">
      <alignment horizontal="right" vertical="top" wrapText="1"/>
    </xf>
    <xf numFmtId="0" fontId="30" fillId="0" borderId="51" xfId="7" applyFont="1" applyBorder="1" applyAlignment="1">
      <alignment horizontal="left" wrapText="1"/>
    </xf>
    <xf numFmtId="173" fontId="24" fillId="11" borderId="51" xfId="10" applyNumberFormat="1" applyFont="1" applyFill="1" applyBorder="1" applyAlignment="1">
      <alignment horizontal="right" vertical="top" wrapText="1"/>
    </xf>
    <xf numFmtId="43" fontId="23" fillId="0" borderId="51" xfId="9" applyFont="1" applyFill="1" applyBorder="1" applyAlignment="1">
      <alignment horizontal="right" vertical="top" wrapText="1"/>
    </xf>
    <xf numFmtId="174" fontId="23" fillId="11" borderId="51" xfId="8" applyNumberFormat="1" applyFont="1" applyFill="1" applyBorder="1" applyAlignment="1">
      <alignment horizontal="right" vertical="top" wrapText="1"/>
    </xf>
    <xf numFmtId="170" fontId="24" fillId="0" borderId="0" xfId="8" applyFont="1" applyFill="1" applyBorder="1" applyAlignment="1">
      <alignment horizontal="right" vertical="top" wrapText="1"/>
    </xf>
    <xf numFmtId="0" fontId="15" fillId="0" borderId="51" xfId="7" applyBorder="1" applyAlignment="1">
      <alignment horizontal="left" wrapText="1"/>
    </xf>
    <xf numFmtId="10" fontId="24" fillId="0" borderId="51" xfId="10" applyNumberFormat="1" applyFont="1" applyFill="1" applyBorder="1" applyAlignment="1">
      <alignment horizontal="right" vertical="top" wrapText="1"/>
    </xf>
    <xf numFmtId="0" fontId="15" fillId="0" borderId="57" xfId="7" applyBorder="1" applyAlignment="1">
      <alignment horizontal="center" wrapText="1"/>
    </xf>
    <xf numFmtId="0" fontId="30" fillId="0" borderId="51" xfId="7" applyFont="1" applyBorder="1" applyAlignment="1">
      <alignment horizontal="left" vertical="center" wrapText="1"/>
    </xf>
    <xf numFmtId="0" fontId="20" fillId="0" borderId="57" xfId="7" applyFont="1" applyBorder="1" applyAlignment="1">
      <alignment wrapText="1"/>
    </xf>
    <xf numFmtId="170" fontId="23" fillId="0" borderId="57" xfId="8" applyFont="1" applyFill="1" applyBorder="1" applyAlignment="1">
      <alignment horizontal="right" vertical="top" wrapText="1"/>
    </xf>
    <xf numFmtId="4" fontId="23" fillId="0" borderId="57" xfId="7" applyNumberFormat="1" applyFont="1" applyBorder="1" applyAlignment="1">
      <alignment horizontal="right" vertical="top"/>
    </xf>
    <xf numFmtId="0" fontId="28" fillId="0" borderId="68" xfId="7" applyFont="1" applyBorder="1" applyAlignment="1">
      <alignment horizontal="right" wrapText="1"/>
    </xf>
    <xf numFmtId="0" fontId="15" fillId="0" borderId="51" xfId="7" applyBorder="1" applyAlignment="1">
      <alignment vertical="center" wrapText="1"/>
    </xf>
    <xf numFmtId="43" fontId="23" fillId="0" borderId="0" xfId="7" applyNumberFormat="1" applyFont="1">
      <alignment vertical="top"/>
    </xf>
    <xf numFmtId="170" fontId="23" fillId="13" borderId="51" xfId="8" applyFont="1" applyFill="1" applyBorder="1" applyAlignment="1">
      <alignment horizontal="right" vertical="top" wrapText="1"/>
    </xf>
    <xf numFmtId="170" fontId="34" fillId="0" borderId="51" xfId="8" applyFont="1" applyFill="1" applyBorder="1" applyAlignment="1">
      <alignment horizontal="right" vertical="top" wrapText="1"/>
    </xf>
    <xf numFmtId="170" fontId="33" fillId="0" borderId="51" xfId="8" applyFont="1" applyFill="1" applyBorder="1" applyAlignment="1">
      <alignment horizontal="right" vertical="top" wrapText="1"/>
    </xf>
    <xf numFmtId="2" fontId="34" fillId="0" borderId="51" xfId="7" applyNumberFormat="1" applyFont="1" applyBorder="1" applyAlignment="1">
      <alignment horizontal="right" vertical="top"/>
    </xf>
    <xf numFmtId="0" fontId="37" fillId="0" borderId="51" xfId="7" applyFont="1" applyBorder="1" applyAlignment="1">
      <alignment horizontal="right" wrapText="1"/>
    </xf>
    <xf numFmtId="170" fontId="34" fillId="0" borderId="0" xfId="8" applyFont="1" applyFill="1" applyAlignment="1">
      <alignment horizontal="center" vertical="top"/>
    </xf>
    <xf numFmtId="171" fontId="33" fillId="0" borderId="51" xfId="9" applyNumberFormat="1" applyFont="1" applyFill="1" applyBorder="1" applyAlignment="1">
      <alignment horizontal="right" vertical="top" wrapText="1"/>
    </xf>
    <xf numFmtId="173" fontId="33" fillId="11" borderId="51" xfId="10" applyNumberFormat="1" applyFont="1" applyFill="1" applyBorder="1" applyAlignment="1">
      <alignment horizontal="right" vertical="top" wrapText="1"/>
    </xf>
    <xf numFmtId="2" fontId="33" fillId="0" borderId="51" xfId="7" applyNumberFormat="1" applyFont="1" applyBorder="1" applyAlignment="1">
      <alignment horizontal="right" vertical="top"/>
    </xf>
    <xf numFmtId="0" fontId="37" fillId="0" borderId="68" xfId="7" applyFont="1" applyBorder="1" applyAlignment="1">
      <alignment horizontal="right" wrapText="1"/>
    </xf>
    <xf numFmtId="170" fontId="33" fillId="11" borderId="51" xfId="8" applyFont="1" applyFill="1" applyBorder="1" applyAlignment="1">
      <alignment horizontal="right" vertical="top" wrapText="1"/>
    </xf>
    <xf numFmtId="174" fontId="34" fillId="11" borderId="51" xfId="8" applyNumberFormat="1" applyFont="1" applyFill="1" applyBorder="1" applyAlignment="1">
      <alignment horizontal="right" vertical="top" wrapText="1"/>
    </xf>
    <xf numFmtId="170" fontId="34" fillId="11" borderId="51" xfId="8" applyFont="1" applyFill="1" applyBorder="1" applyAlignment="1">
      <alignment horizontal="right" vertical="top" wrapText="1"/>
    </xf>
    <xf numFmtId="2" fontId="34" fillId="11" borderId="51" xfId="7" applyNumberFormat="1" applyFont="1" applyFill="1" applyBorder="1" applyAlignment="1">
      <alignment horizontal="right" vertical="top"/>
    </xf>
    <xf numFmtId="0" fontId="35" fillId="0" borderId="51" xfId="7" applyFont="1" applyBorder="1" applyAlignment="1">
      <alignment horizontal="center" wrapText="1"/>
    </xf>
    <xf numFmtId="170" fontId="24" fillId="4" borderId="51" xfId="8" applyFont="1" applyFill="1" applyBorder="1" applyAlignment="1">
      <alignment horizontal="right" vertical="top" wrapText="1"/>
    </xf>
    <xf numFmtId="2" fontId="23" fillId="0" borderId="15" xfId="7" applyNumberFormat="1" applyFont="1" applyBorder="1" applyAlignment="1">
      <alignment horizontal="right" vertical="center"/>
    </xf>
    <xf numFmtId="2" fontId="23" fillId="0" borderId="15" xfId="7" applyNumberFormat="1" applyFont="1" applyBorder="1" applyAlignment="1">
      <alignment vertical="center"/>
    </xf>
    <xf numFmtId="0" fontId="23" fillId="0" borderId="0" xfId="7" applyFont="1" applyAlignment="1">
      <alignment vertical="center"/>
    </xf>
    <xf numFmtId="4" fontId="18" fillId="0" borderId="57" xfId="5" applyNumberFormat="1" applyFont="1" applyFill="1" applyBorder="1" applyAlignment="1">
      <alignment horizontal="center" vertical="center" wrapText="1"/>
    </xf>
    <xf numFmtId="170" fontId="21" fillId="8" borderId="0" xfId="8" applyFont="1" applyFill="1" applyBorder="1" applyAlignment="1">
      <alignment vertical="top"/>
    </xf>
    <xf numFmtId="2" fontId="18" fillId="8" borderId="0" xfId="8" applyNumberFormat="1" applyFont="1" applyFill="1" applyBorder="1" applyAlignment="1">
      <alignment horizontal="left" vertical="top"/>
    </xf>
    <xf numFmtId="0" fontId="21" fillId="8" borderId="0" xfId="7" applyFont="1" applyFill="1" applyAlignment="1">
      <alignment horizontal="left" vertical="top"/>
    </xf>
    <xf numFmtId="0" fontId="18" fillId="8" borderId="0" xfId="7" applyFont="1" applyFill="1" applyAlignment="1">
      <alignment vertical="top" wrapText="1"/>
    </xf>
    <xf numFmtId="0" fontId="21" fillId="0" borderId="51" xfId="7" applyFont="1" applyBorder="1" applyAlignment="1">
      <alignment horizontal="center" vertical="center" wrapText="1"/>
    </xf>
    <xf numFmtId="0" fontId="21" fillId="0" borderId="51" xfId="7" applyFont="1" applyBorder="1" applyAlignment="1">
      <alignment vertical="center" wrapText="1"/>
    </xf>
    <xf numFmtId="170" fontId="18" fillId="0" borderId="0" xfId="8" applyFont="1" applyFill="1" applyAlignment="1">
      <alignment horizontal="center" vertical="center"/>
    </xf>
    <xf numFmtId="170" fontId="21" fillId="0" borderId="51" xfId="8" applyFont="1" applyFill="1" applyBorder="1" applyAlignment="1">
      <alignment horizontal="center" vertical="center" wrapText="1"/>
    </xf>
    <xf numFmtId="170" fontId="18" fillId="0" borderId="57" xfId="8" applyFont="1" applyFill="1" applyBorder="1" applyAlignment="1">
      <alignment horizontal="right" vertical="center" wrapText="1"/>
    </xf>
    <xf numFmtId="170" fontId="21" fillId="11" borderId="51" xfId="8" applyFont="1" applyFill="1" applyBorder="1" applyAlignment="1">
      <alignment horizontal="center" vertical="center" wrapText="1"/>
    </xf>
    <xf numFmtId="2" fontId="18" fillId="0" borderId="51" xfId="7" applyNumberFormat="1" applyFont="1" applyBorder="1" applyAlignment="1">
      <alignment horizontal="right" vertical="center"/>
    </xf>
    <xf numFmtId="0" fontId="18" fillId="0" borderId="51" xfId="7" applyFont="1" applyBorder="1" applyAlignment="1">
      <alignment horizontal="center" wrapText="1"/>
    </xf>
    <xf numFmtId="170" fontId="18" fillId="0" borderId="51" xfId="8" applyFont="1" applyFill="1" applyBorder="1" applyAlignment="1">
      <alignment horizontal="right" vertical="center" wrapText="1"/>
    </xf>
    <xf numFmtId="170" fontId="21" fillId="0" borderId="51" xfId="8" applyFont="1" applyFill="1" applyBorder="1" applyAlignment="1">
      <alignment horizontal="right" vertical="top" wrapText="1"/>
    </xf>
    <xf numFmtId="2" fontId="18" fillId="0" borderId="0" xfId="8" applyNumberFormat="1" applyFont="1" applyFill="1" applyAlignment="1">
      <alignment horizontal="center" vertical="top"/>
    </xf>
    <xf numFmtId="2" fontId="18" fillId="0" borderId="51" xfId="7" applyNumberFormat="1" applyFont="1" applyBorder="1" applyAlignment="1">
      <alignment horizontal="right" vertical="top"/>
    </xf>
    <xf numFmtId="0" fontId="18" fillId="0" borderId="51" xfId="7" applyFont="1" applyBorder="1" applyAlignment="1">
      <alignment vertical="center" wrapText="1"/>
    </xf>
    <xf numFmtId="170" fontId="18" fillId="0" borderId="51" xfId="8" applyFont="1" applyFill="1" applyBorder="1" applyAlignment="1">
      <alignment horizontal="center" vertical="center" wrapText="1"/>
    </xf>
    <xf numFmtId="170" fontId="21" fillId="0" borderId="51" xfId="8" applyFont="1" applyFill="1" applyBorder="1" applyAlignment="1">
      <alignment horizontal="right" vertical="center" wrapText="1"/>
    </xf>
    <xf numFmtId="0" fontId="18" fillId="10" borderId="15" xfId="7" applyFont="1" applyFill="1" applyBorder="1" applyAlignment="1">
      <alignment horizontal="center" wrapText="1"/>
    </xf>
    <xf numFmtId="0" fontId="21" fillId="10" borderId="15" xfId="7" applyFont="1" applyFill="1" applyBorder="1" applyAlignment="1">
      <alignment wrapText="1"/>
    </xf>
    <xf numFmtId="170" fontId="18" fillId="10" borderId="15" xfId="8" applyFont="1" applyFill="1" applyBorder="1" applyAlignment="1">
      <alignment horizontal="center" vertical="top" wrapText="1"/>
    </xf>
    <xf numFmtId="170" fontId="18" fillId="10" borderId="15" xfId="8" applyFont="1" applyFill="1" applyBorder="1" applyAlignment="1">
      <alignment horizontal="right" vertical="top" wrapText="1"/>
    </xf>
    <xf numFmtId="170" fontId="21" fillId="10" borderId="15" xfId="8" applyFont="1" applyFill="1" applyBorder="1" applyAlignment="1">
      <alignment horizontal="right" vertical="top" wrapText="1"/>
    </xf>
    <xf numFmtId="4" fontId="18" fillId="10" borderId="15" xfId="7" applyNumberFormat="1" applyFont="1" applyFill="1" applyBorder="1" applyAlignment="1">
      <alignment horizontal="right" vertical="top"/>
    </xf>
    <xf numFmtId="170" fontId="21" fillId="0" borderId="57" xfId="8" applyFont="1" applyFill="1" applyBorder="1" applyAlignment="1">
      <alignment horizontal="right" vertical="center" wrapText="1"/>
    </xf>
    <xf numFmtId="4" fontId="18" fillId="0" borderId="57" xfId="7" applyNumberFormat="1" applyFont="1" applyBorder="1" applyAlignment="1">
      <alignment horizontal="right" vertical="center"/>
    </xf>
    <xf numFmtId="170" fontId="18" fillId="0" borderId="51" xfId="8" applyFont="1" applyFill="1" applyBorder="1" applyAlignment="1">
      <alignment horizontal="center" vertical="top" wrapText="1"/>
    </xf>
    <xf numFmtId="170" fontId="18" fillId="0" borderId="57" xfId="8" applyFont="1" applyFill="1" applyBorder="1" applyAlignment="1">
      <alignment horizontal="right" vertical="top" wrapText="1"/>
    </xf>
    <xf numFmtId="170" fontId="21" fillId="0" borderId="57" xfId="8" applyFont="1" applyFill="1" applyBorder="1" applyAlignment="1">
      <alignment horizontal="right" vertical="top" wrapText="1"/>
    </xf>
    <xf numFmtId="4" fontId="18" fillId="0" borderId="57" xfId="7" applyNumberFormat="1" applyFont="1" applyBorder="1" applyAlignment="1">
      <alignment horizontal="right" vertical="top"/>
    </xf>
    <xf numFmtId="0" fontId="18" fillId="0" borderId="51" xfId="7" applyFont="1" applyBorder="1" applyAlignment="1">
      <alignment horizontal="right" vertical="center" wrapText="1"/>
    </xf>
    <xf numFmtId="0" fontId="18" fillId="0" borderId="57" xfId="7" applyFont="1" applyBorder="1" applyAlignment="1">
      <alignment horizontal="center" wrapText="1"/>
    </xf>
    <xf numFmtId="0" fontId="21" fillId="0" borderId="57" xfId="7" applyFont="1" applyBorder="1" applyAlignment="1">
      <alignment wrapText="1"/>
    </xf>
    <xf numFmtId="170" fontId="18" fillId="0" borderId="0" xfId="8" applyFont="1" applyFill="1" applyBorder="1" applyAlignment="1">
      <alignment horizontal="right" vertical="top" wrapText="1"/>
    </xf>
    <xf numFmtId="0" fontId="21" fillId="0" borderId="51" xfId="7" applyFont="1" applyBorder="1" applyAlignment="1">
      <alignment horizontal="center" wrapText="1"/>
    </xf>
    <xf numFmtId="0" fontId="18" fillId="0" borderId="51" xfId="7" applyFont="1" applyBorder="1" applyAlignment="1">
      <alignment horizontal="right" wrapText="1"/>
    </xf>
    <xf numFmtId="170" fontId="18" fillId="0" borderId="0" xfId="8" applyFont="1" applyFill="1" applyAlignment="1">
      <alignment horizontal="center" vertical="top"/>
    </xf>
    <xf numFmtId="170" fontId="18" fillId="0" borderId="51" xfId="8" applyFont="1" applyFill="1" applyBorder="1" applyAlignment="1">
      <alignment horizontal="right" vertical="top" wrapText="1"/>
    </xf>
    <xf numFmtId="2" fontId="21" fillId="0" borderId="51" xfId="7" applyNumberFormat="1" applyFont="1" applyBorder="1" applyAlignment="1">
      <alignment horizontal="right" vertical="top"/>
    </xf>
    <xf numFmtId="0" fontId="21" fillId="0" borderId="51" xfId="7" applyFont="1" applyBorder="1" applyAlignment="1">
      <alignment horizontal="left" vertical="center" wrapText="1"/>
    </xf>
    <xf numFmtId="170" fontId="18" fillId="0" borderId="0" xfId="8" applyFont="1" applyFill="1" applyAlignment="1">
      <alignment vertical="top"/>
    </xf>
    <xf numFmtId="0" fontId="21" fillId="0" borderId="51" xfId="7" applyFont="1" applyBorder="1" applyAlignment="1">
      <alignment horizontal="left" wrapText="1"/>
    </xf>
    <xf numFmtId="0" fontId="21" fillId="0" borderId="51" xfId="7" applyFont="1" applyBorder="1" applyAlignment="1">
      <alignment horizontal="right" wrapText="1"/>
    </xf>
    <xf numFmtId="170" fontId="21" fillId="0" borderId="0" xfId="8" applyFont="1" applyFill="1" applyAlignment="1">
      <alignment horizontal="center" vertical="top"/>
    </xf>
    <xf numFmtId="43" fontId="18" fillId="0" borderId="51" xfId="9" applyFont="1" applyFill="1" applyBorder="1" applyAlignment="1">
      <alignment horizontal="right" vertical="top" wrapText="1"/>
    </xf>
    <xf numFmtId="173" fontId="21" fillId="11" borderId="51" xfId="10" applyNumberFormat="1" applyFont="1" applyFill="1" applyBorder="1" applyAlignment="1">
      <alignment horizontal="right" vertical="top" wrapText="1"/>
    </xf>
    <xf numFmtId="0" fontId="21" fillId="0" borderId="68" xfId="7" applyFont="1" applyBorder="1" applyAlignment="1">
      <alignment horizontal="right" wrapText="1"/>
    </xf>
    <xf numFmtId="170" fontId="18" fillId="11" borderId="51" xfId="8" applyFont="1" applyFill="1" applyBorder="1" applyAlignment="1">
      <alignment horizontal="right" vertical="top" wrapText="1"/>
    </xf>
    <xf numFmtId="170" fontId="21" fillId="11" borderId="51" xfId="8" applyFont="1" applyFill="1" applyBorder="1" applyAlignment="1">
      <alignment horizontal="right" vertical="top" wrapText="1"/>
    </xf>
    <xf numFmtId="2" fontId="18" fillId="11" borderId="51" xfId="7" applyNumberFormat="1" applyFont="1" applyFill="1" applyBorder="1" applyAlignment="1">
      <alignment horizontal="right" vertical="top"/>
    </xf>
    <xf numFmtId="0" fontId="18" fillId="0" borderId="47" xfId="7" applyFont="1" applyBorder="1" applyAlignment="1">
      <alignment horizontal="center" wrapText="1"/>
    </xf>
    <xf numFmtId="0" fontId="21" fillId="0" borderId="47" xfId="7" applyFont="1" applyBorder="1" applyAlignment="1">
      <alignment wrapText="1"/>
    </xf>
    <xf numFmtId="170" fontId="18" fillId="0" borderId="47" xfId="8" applyFont="1" applyFill="1" applyBorder="1" applyAlignment="1">
      <alignment horizontal="right" vertical="top" wrapText="1"/>
    </xf>
    <xf numFmtId="170" fontId="21" fillId="0" borderId="47" xfId="8" applyFont="1" applyFill="1" applyBorder="1" applyAlignment="1">
      <alignment horizontal="right" vertical="top" wrapText="1"/>
    </xf>
    <xf numFmtId="0" fontId="21" fillId="9" borderId="47" xfId="7" applyFont="1" applyFill="1" applyBorder="1" applyAlignment="1">
      <alignment horizontal="center" wrapText="1"/>
    </xf>
    <xf numFmtId="0" fontId="21" fillId="9" borderId="47" xfId="7" applyFont="1" applyFill="1" applyBorder="1" applyAlignment="1">
      <alignment wrapText="1"/>
    </xf>
    <xf numFmtId="170" fontId="21" fillId="9" borderId="47" xfId="8" applyFont="1" applyFill="1" applyBorder="1" applyAlignment="1">
      <alignment horizontal="right" vertical="top" wrapText="1"/>
    </xf>
    <xf numFmtId="2" fontId="21" fillId="9" borderId="47" xfId="7" applyNumberFormat="1" applyFont="1" applyFill="1" applyBorder="1" applyAlignment="1">
      <alignment horizontal="right" vertical="top"/>
    </xf>
    <xf numFmtId="0" fontId="21" fillId="0" borderId="57" xfId="7" applyFont="1" applyBorder="1" applyAlignment="1">
      <alignment horizontal="center" wrapText="1"/>
    </xf>
    <xf numFmtId="170" fontId="21" fillId="0" borderId="57" xfId="8" applyFont="1" applyFill="1" applyBorder="1" applyAlignment="1">
      <alignment horizontal="center" vertical="top" wrapText="1"/>
    </xf>
    <xf numFmtId="170" fontId="21" fillId="0" borderId="57" xfId="8" applyFont="1" applyFill="1" applyBorder="1" applyAlignment="1">
      <alignment horizontal="center" vertical="center" wrapText="1"/>
    </xf>
    <xf numFmtId="170" fontId="18" fillId="0" borderId="50" xfId="8" applyFont="1" applyFill="1" applyBorder="1" applyAlignment="1">
      <alignment horizontal="center" vertical="center" wrapText="1"/>
    </xf>
    <xf numFmtId="2" fontId="18" fillId="0" borderId="57" xfId="7" applyNumberFormat="1" applyFont="1" applyBorder="1" applyAlignment="1">
      <alignment horizontal="right" vertical="center"/>
    </xf>
    <xf numFmtId="0" fontId="18" fillId="0" borderId="57" xfId="7" applyFont="1" applyBorder="1" applyAlignment="1">
      <alignment vertical="center" wrapText="1"/>
    </xf>
    <xf numFmtId="0" fontId="21" fillId="0" borderId="51" xfId="7" applyFont="1" applyBorder="1" applyAlignment="1">
      <alignment horizontal="right" vertical="center" wrapText="1"/>
    </xf>
    <xf numFmtId="170" fontId="38" fillId="0" borderId="57" xfId="8" applyFont="1" applyFill="1" applyBorder="1" applyAlignment="1">
      <alignment horizontal="right" vertical="center" wrapText="1"/>
    </xf>
    <xf numFmtId="175" fontId="18" fillId="0" borderId="57" xfId="8" applyNumberFormat="1" applyFont="1" applyFill="1" applyBorder="1" applyAlignment="1">
      <alignment horizontal="justify" vertical="center" wrapText="1"/>
    </xf>
    <xf numFmtId="0" fontId="21" fillId="0" borderId="57" xfId="7" applyFont="1" applyBorder="1" applyAlignment="1">
      <alignment horizontal="right" vertical="center" wrapText="1"/>
    </xf>
    <xf numFmtId="0" fontId="18" fillId="0" borderId="57" xfId="7" applyFont="1" applyBorder="1" applyAlignment="1">
      <alignment horizontal="right" vertical="center" wrapText="1"/>
    </xf>
    <xf numFmtId="170" fontId="21" fillId="0" borderId="50" xfId="8" applyFont="1" applyFill="1" applyBorder="1" applyAlignment="1">
      <alignment horizontal="center" vertical="center" wrapText="1"/>
    </xf>
    <xf numFmtId="0" fontId="21" fillId="0" borderId="57" xfId="7" applyFont="1" applyBorder="1" applyAlignment="1">
      <alignment horizontal="center" vertical="center" wrapText="1"/>
    </xf>
    <xf numFmtId="170" fontId="38" fillId="0" borderId="57" xfId="8" applyFont="1" applyFill="1" applyBorder="1" applyAlignment="1">
      <alignment horizontal="center" vertical="center" wrapText="1"/>
    </xf>
    <xf numFmtId="170" fontId="39" fillId="0" borderId="57" xfId="8" applyFont="1" applyFill="1" applyBorder="1" applyAlignment="1">
      <alignment horizontal="right" vertical="center" wrapText="1"/>
    </xf>
    <xf numFmtId="2" fontId="38" fillId="0" borderId="57" xfId="7" applyNumberFormat="1" applyFont="1" applyBorder="1" applyAlignment="1">
      <alignment horizontal="right" vertical="center"/>
    </xf>
    <xf numFmtId="0" fontId="18" fillId="0" borderId="0" xfId="7" applyFont="1" applyAlignment="1">
      <alignment horizontal="right" vertical="center"/>
    </xf>
    <xf numFmtId="10" fontId="18" fillId="0" borderId="57" xfId="10" applyNumberFormat="1" applyFont="1" applyFill="1" applyBorder="1" applyAlignment="1">
      <alignment vertical="center" wrapText="1"/>
    </xf>
    <xf numFmtId="10" fontId="18" fillId="0" borderId="57" xfId="10" applyNumberFormat="1" applyFont="1" applyFill="1" applyBorder="1" applyAlignment="1">
      <alignment horizontal="center" vertical="center" wrapText="1"/>
    </xf>
    <xf numFmtId="170" fontId="38" fillId="0" borderId="50" xfId="8" applyFont="1" applyFill="1" applyBorder="1" applyAlignment="1">
      <alignment horizontal="center" vertical="center" wrapText="1"/>
    </xf>
    <xf numFmtId="170" fontId="18" fillId="0" borderId="50" xfId="8" applyFont="1" applyFill="1" applyBorder="1" applyAlignment="1">
      <alignment vertical="center" wrapText="1"/>
    </xf>
    <xf numFmtId="0" fontId="18" fillId="0" borderId="57" xfId="7" applyFont="1" applyBorder="1" applyAlignment="1">
      <alignment horizontal="justify" vertical="center" wrapText="1"/>
    </xf>
    <xf numFmtId="170" fontId="39" fillId="11" borderId="51" xfId="8" applyFont="1" applyFill="1" applyBorder="1" applyAlignment="1">
      <alignment horizontal="center" vertical="center" wrapText="1"/>
    </xf>
    <xf numFmtId="170" fontId="18" fillId="0" borderId="0" xfId="8" applyFont="1" applyFill="1" applyBorder="1" applyAlignment="1">
      <alignment horizontal="center" vertical="center" wrapText="1"/>
    </xf>
    <xf numFmtId="170" fontId="18" fillId="0" borderId="57" xfId="8" applyFont="1" applyFill="1" applyBorder="1" applyAlignment="1">
      <alignment horizontal="center" vertical="top" wrapText="1"/>
    </xf>
    <xf numFmtId="0" fontId="18" fillId="0" borderId="0" xfId="7" applyFont="1" applyAlignment="1">
      <alignment horizontal="center" vertical="center"/>
    </xf>
    <xf numFmtId="0" fontId="18" fillId="0" borderId="57" xfId="7" applyFont="1" applyBorder="1" applyAlignment="1">
      <alignment horizontal="center" vertical="center"/>
    </xf>
    <xf numFmtId="170" fontId="18" fillId="0" borderId="58" xfId="8" applyFont="1" applyFill="1" applyBorder="1" applyAlignment="1">
      <alignment horizontal="center" vertical="center" wrapText="1"/>
    </xf>
    <xf numFmtId="0" fontId="18" fillId="0" borderId="0" xfId="7" applyFont="1" applyAlignment="1">
      <alignment vertical="center"/>
    </xf>
    <xf numFmtId="0" fontId="38" fillId="0" borderId="57" xfId="8" applyNumberFormat="1" applyFont="1" applyFill="1" applyBorder="1" applyAlignment="1">
      <alignment horizontal="right" vertical="center" wrapText="1"/>
    </xf>
    <xf numFmtId="170" fontId="21" fillId="11" borderId="50" xfId="8" applyFont="1" applyFill="1" applyBorder="1" applyAlignment="1">
      <alignment horizontal="center" vertical="center" wrapText="1"/>
    </xf>
    <xf numFmtId="4" fontId="38" fillId="0" borderId="50" xfId="8" applyNumberFormat="1" applyFont="1" applyFill="1" applyBorder="1" applyAlignment="1">
      <alignment horizontal="center" vertical="center" wrapText="1"/>
    </xf>
    <xf numFmtId="4" fontId="18" fillId="0" borderId="0" xfId="7" applyNumberFormat="1" applyFont="1" applyAlignment="1">
      <alignment vertical="center"/>
    </xf>
    <xf numFmtId="4" fontId="21" fillId="0" borderId="0" xfId="7" applyNumberFormat="1" applyFont="1" applyAlignment="1">
      <alignment vertical="center"/>
    </xf>
    <xf numFmtId="0" fontId="21" fillId="9" borderId="15" xfId="7" applyFont="1" applyFill="1" applyBorder="1" applyAlignment="1">
      <alignment horizontal="center" wrapText="1"/>
    </xf>
    <xf numFmtId="0" fontId="21" fillId="9" borderId="15" xfId="7" applyFont="1" applyFill="1" applyBorder="1" applyAlignment="1">
      <alignment wrapText="1"/>
    </xf>
    <xf numFmtId="170" fontId="21" fillId="9" borderId="15" xfId="8" applyFont="1" applyFill="1" applyBorder="1" applyAlignment="1">
      <alignment horizontal="right" vertical="top" wrapText="1"/>
    </xf>
    <xf numFmtId="2" fontId="21" fillId="9" borderId="15" xfId="7" applyNumberFormat="1" applyFont="1" applyFill="1" applyBorder="1" applyAlignment="1">
      <alignment horizontal="right" vertical="top"/>
    </xf>
    <xf numFmtId="0" fontId="21" fillId="0" borderId="50" xfId="7" applyFont="1" applyBorder="1" applyAlignment="1">
      <alignment horizontal="center" wrapText="1"/>
    </xf>
    <xf numFmtId="0" fontId="21" fillId="0" borderId="50" xfId="7" applyFont="1" applyBorder="1" applyAlignment="1">
      <alignment wrapText="1"/>
    </xf>
    <xf numFmtId="170" fontId="21" fillId="0" borderId="50" xfId="8" applyFont="1" applyFill="1" applyBorder="1" applyAlignment="1">
      <alignment horizontal="right" vertical="top" wrapText="1"/>
    </xf>
    <xf numFmtId="2" fontId="21" fillId="0" borderId="50" xfId="7" applyNumberFormat="1" applyFont="1" applyBorder="1" applyAlignment="1">
      <alignment horizontal="right" vertical="top"/>
    </xf>
    <xf numFmtId="170" fontId="21" fillId="0" borderId="56" xfId="8" applyFont="1" applyFill="1" applyBorder="1" applyAlignment="1">
      <alignment horizontal="center" vertical="center" wrapText="1"/>
    </xf>
    <xf numFmtId="2" fontId="21" fillId="0" borderId="51" xfId="7" applyNumberFormat="1" applyFont="1" applyBorder="1" applyAlignment="1">
      <alignment horizontal="right" vertical="center"/>
    </xf>
    <xf numFmtId="43" fontId="21" fillId="0" borderId="51" xfId="9" applyFont="1" applyFill="1" applyBorder="1" applyAlignment="1">
      <alignment vertical="top" wrapText="1"/>
    </xf>
    <xf numFmtId="0" fontId="18" fillId="0" borderId="56" xfId="7" applyFont="1" applyBorder="1" applyAlignment="1">
      <alignment horizontal="right" vertical="center" wrapText="1"/>
    </xf>
    <xf numFmtId="43" fontId="21" fillId="0" borderId="50" xfId="9" applyFont="1" applyFill="1" applyBorder="1" applyAlignment="1">
      <alignment horizontal="center" vertical="center" wrapText="1"/>
    </xf>
    <xf numFmtId="43" fontId="21" fillId="11" borderId="51" xfId="8" applyNumberFormat="1" applyFont="1" applyFill="1" applyBorder="1" applyAlignment="1">
      <alignment horizontal="center" vertical="center" wrapText="1"/>
    </xf>
    <xf numFmtId="43" fontId="21" fillId="0" borderId="51" xfId="7" applyNumberFormat="1" applyFont="1" applyBorder="1" applyAlignment="1">
      <alignment horizontal="right" vertical="center"/>
    </xf>
    <xf numFmtId="0" fontId="18" fillId="0" borderId="49" xfId="7" applyFont="1" applyBorder="1" applyAlignment="1">
      <alignment horizontal="right" vertical="center" wrapText="1"/>
    </xf>
    <xf numFmtId="0" fontId="18" fillId="0" borderId="55" xfId="7" applyFont="1" applyBorder="1" applyAlignment="1">
      <alignment horizontal="right" vertical="center" wrapText="1"/>
    </xf>
    <xf numFmtId="174" fontId="21" fillId="11" borderId="51" xfId="8" applyNumberFormat="1" applyFont="1" applyFill="1" applyBorder="1" applyAlignment="1">
      <alignment horizontal="right" vertical="top" wrapText="1"/>
    </xf>
    <xf numFmtId="2" fontId="21" fillId="11" borderId="51" xfId="7" applyNumberFormat="1" applyFont="1" applyFill="1" applyBorder="1" applyAlignment="1">
      <alignment horizontal="right" vertical="top"/>
    </xf>
    <xf numFmtId="0" fontId="21" fillId="0" borderId="50" xfId="7" applyFont="1" applyBorder="1" applyAlignment="1">
      <alignment horizontal="right" wrapText="1"/>
    </xf>
    <xf numFmtId="43" fontId="18" fillId="0" borderId="51" xfId="10" applyNumberFormat="1" applyFont="1" applyFill="1" applyBorder="1" applyAlignment="1">
      <alignment horizontal="right" vertical="top" wrapText="1"/>
    </xf>
    <xf numFmtId="172" fontId="21" fillId="10" borderId="15" xfId="8" applyNumberFormat="1" applyFont="1" applyFill="1" applyBorder="1" applyAlignment="1">
      <alignment horizontal="right" vertical="top" wrapText="1"/>
    </xf>
    <xf numFmtId="174" fontId="21" fillId="10" borderId="15" xfId="8" applyNumberFormat="1" applyFont="1" applyFill="1" applyBorder="1" applyAlignment="1">
      <alignment horizontal="right" vertical="top" wrapText="1"/>
    </xf>
    <xf numFmtId="49" fontId="18" fillId="8" borderId="0" xfId="7" applyNumberFormat="1" applyFont="1" applyFill="1" applyAlignment="1">
      <alignment horizontal="center" vertical="top" wrapText="1"/>
    </xf>
    <xf numFmtId="170" fontId="18" fillId="13" borderId="51" xfId="8" applyFont="1" applyFill="1" applyBorder="1" applyAlignment="1">
      <alignment horizontal="right" vertical="top" wrapText="1"/>
    </xf>
    <xf numFmtId="170" fontId="21" fillId="4" borderId="51" xfId="8" applyFont="1" applyFill="1" applyBorder="1" applyAlignment="1">
      <alignment horizontal="right" vertical="top" wrapText="1"/>
    </xf>
    <xf numFmtId="0" fontId="21" fillId="0" borderId="51" xfId="7" applyFont="1" applyBorder="1" applyAlignment="1">
      <alignment wrapText="1"/>
    </xf>
    <xf numFmtId="2" fontId="20" fillId="0" borderId="75" xfId="7" applyNumberFormat="1" applyFont="1" applyBorder="1" applyAlignment="1">
      <alignment horizontal="center" vertical="center"/>
    </xf>
    <xf numFmtId="2" fontId="20" fillId="0" borderId="76" xfId="7" applyNumberFormat="1" applyFont="1" applyBorder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right"/>
    </xf>
    <xf numFmtId="170" fontId="18" fillId="0" borderId="57" xfId="8" applyFont="1" applyFill="1" applyBorder="1" applyAlignment="1">
      <alignment horizontal="center" vertical="center" wrapText="1"/>
    </xf>
    <xf numFmtId="43" fontId="21" fillId="11" borderId="51" xfId="9" applyFont="1" applyFill="1" applyBorder="1" applyAlignment="1">
      <alignment vertical="top" wrapText="1"/>
    </xf>
    <xf numFmtId="4" fontId="21" fillId="10" borderId="15" xfId="7" applyNumberFormat="1" applyFont="1" applyFill="1" applyBorder="1" applyAlignment="1">
      <alignment horizontal="right" vertical="top"/>
    </xf>
    <xf numFmtId="170" fontId="18" fillId="0" borderId="56" xfId="8" applyFont="1" applyFill="1" applyBorder="1" applyAlignment="1">
      <alignment horizontal="center" vertical="center" wrapText="1"/>
    </xf>
    <xf numFmtId="170" fontId="18" fillId="0" borderId="15" xfId="8" applyFont="1" applyFill="1" applyBorder="1" applyAlignment="1">
      <alignment horizontal="center" vertical="center" wrapText="1"/>
    </xf>
    <xf numFmtId="49" fontId="42" fillId="8" borderId="11" xfId="4" applyNumberFormat="1" applyFont="1" applyFill="1" applyBorder="1" applyAlignment="1">
      <alignment vertical="center"/>
    </xf>
    <xf numFmtId="0" fontId="42" fillId="0" borderId="0" xfId="4" applyFont="1" applyAlignment="1"/>
    <xf numFmtId="49" fontId="42" fillId="8" borderId="60" xfId="4" applyNumberFormat="1" applyFont="1" applyFill="1" applyBorder="1" applyAlignment="1">
      <alignment vertical="center"/>
    </xf>
    <xf numFmtId="49" fontId="42" fillId="8" borderId="6" xfId="4" applyNumberFormat="1" applyFont="1" applyFill="1" applyBorder="1" applyAlignment="1">
      <alignment vertical="center"/>
    </xf>
    <xf numFmtId="0" fontId="44" fillId="0" borderId="0" xfId="4" applyFont="1" applyAlignment="1"/>
    <xf numFmtId="49" fontId="31" fillId="0" borderId="15" xfId="4" applyNumberFormat="1" applyFont="1" applyBorder="1" applyAlignment="1">
      <alignment horizontal="center" vertical="center" wrapText="1"/>
    </xf>
    <xf numFmtId="0" fontId="31" fillId="0" borderId="15" xfId="4" applyFont="1" applyBorder="1" applyAlignment="1">
      <alignment horizontal="center" vertical="center" wrapText="1"/>
    </xf>
    <xf numFmtId="170" fontId="31" fillId="0" borderId="15" xfId="5" applyFont="1" applyFill="1" applyBorder="1" applyAlignment="1">
      <alignment horizontal="center" vertical="center" wrapText="1"/>
    </xf>
    <xf numFmtId="170" fontId="31" fillId="0" borderId="53" xfId="5" applyFont="1" applyFill="1" applyBorder="1" applyAlignment="1">
      <alignment horizontal="center" vertical="center" wrapText="1"/>
    </xf>
    <xf numFmtId="170" fontId="31" fillId="0" borderId="54" xfId="5" applyFont="1" applyFill="1" applyBorder="1" applyAlignment="1">
      <alignment horizontal="center" vertical="center" wrapText="1"/>
    </xf>
    <xf numFmtId="10" fontId="31" fillId="0" borderId="54" xfId="6" applyNumberFormat="1" applyFont="1" applyFill="1" applyBorder="1" applyAlignment="1">
      <alignment horizontal="center" vertical="center" wrapText="1"/>
    </xf>
    <xf numFmtId="0" fontId="32" fillId="0" borderId="0" xfId="4" applyFont="1" applyAlignment="1"/>
    <xf numFmtId="49" fontId="45" fillId="0" borderId="49" xfId="4" applyNumberFormat="1" applyFont="1" applyBorder="1" applyAlignment="1">
      <alignment horizontal="center" vertical="center" wrapText="1"/>
    </xf>
    <xf numFmtId="0" fontId="45" fillId="0" borderId="49" xfId="4" applyFont="1" applyBorder="1" applyAlignment="1">
      <alignment horizontal="left" vertical="center" wrapText="1"/>
    </xf>
    <xf numFmtId="4" fontId="46" fillId="0" borderId="49" xfId="5" applyNumberFormat="1" applyFont="1" applyFill="1" applyBorder="1" applyAlignment="1">
      <alignment vertical="center" wrapText="1"/>
    </xf>
    <xf numFmtId="4" fontId="31" fillId="0" borderId="49" xfId="5" applyNumberFormat="1" applyFont="1" applyFill="1" applyBorder="1" applyAlignment="1">
      <alignment horizontal="center" vertical="center" wrapText="1"/>
    </xf>
    <xf numFmtId="4" fontId="31" fillId="0" borderId="85" xfId="5" applyNumberFormat="1" applyFont="1" applyFill="1" applyBorder="1" applyAlignment="1">
      <alignment horizontal="center" vertical="center" wrapText="1"/>
    </xf>
    <xf numFmtId="4" fontId="31" fillId="0" borderId="86" xfId="5" applyNumberFormat="1" applyFont="1" applyFill="1" applyBorder="1" applyAlignment="1">
      <alignment horizontal="center" vertical="center" wrapText="1"/>
    </xf>
    <xf numFmtId="10" fontId="31" fillId="0" borderId="86" xfId="5" applyNumberFormat="1" applyFont="1" applyFill="1" applyBorder="1" applyAlignment="1">
      <alignment horizontal="center" vertical="center" wrapText="1"/>
    </xf>
    <xf numFmtId="10" fontId="31" fillId="0" borderId="86" xfId="6" applyNumberFormat="1" applyFont="1" applyFill="1" applyBorder="1" applyAlignment="1">
      <alignment horizontal="center" vertical="center" wrapText="1"/>
    </xf>
    <xf numFmtId="0" fontId="44" fillId="12" borderId="0" xfId="4" applyFont="1" applyFill="1" applyAlignment="1"/>
    <xf numFmtId="49" fontId="44" fillId="0" borderId="0" xfId="4" applyNumberFormat="1" applyFont="1" applyAlignment="1">
      <alignment horizontal="center" vertical="center"/>
    </xf>
    <xf numFmtId="0" fontId="44" fillId="0" borderId="0" xfId="4" applyFont="1" applyAlignment="1">
      <alignment vertical="center" wrapText="1"/>
    </xf>
    <xf numFmtId="0" fontId="44" fillId="0" borderId="0" xfId="4" applyFont="1" applyAlignment="1">
      <alignment horizontal="center"/>
    </xf>
    <xf numFmtId="170" fontId="44" fillId="0" borderId="0" xfId="5" applyFont="1" applyFill="1" applyBorder="1"/>
    <xf numFmtId="170" fontId="29" fillId="0" borderId="0" xfId="5" applyFont="1" applyFill="1" applyBorder="1"/>
    <xf numFmtId="10" fontId="29" fillId="0" borderId="0" xfId="6" applyNumberFormat="1" applyFont="1" applyFill="1" applyBorder="1"/>
    <xf numFmtId="0" fontId="42" fillId="8" borderId="4" xfId="4" applyFont="1" applyFill="1" applyBorder="1" applyAlignment="1">
      <alignment horizontal="center" vertical="center" wrapText="1"/>
    </xf>
    <xf numFmtId="49" fontId="43" fillId="8" borderId="107" xfId="4" applyNumberFormat="1" applyFont="1" applyFill="1" applyBorder="1" applyAlignment="1">
      <alignment horizontal="center" vertical="center" wrapText="1"/>
    </xf>
    <xf numFmtId="170" fontId="29" fillId="0" borderId="0" xfId="5" applyFont="1" applyFill="1" applyBorder="1" applyAlignment="1"/>
    <xf numFmtId="0" fontId="63" fillId="0" borderId="0" xfId="4" applyFont="1" applyAlignment="1"/>
    <xf numFmtId="0" fontId="63" fillId="12" borderId="0" xfId="4" applyFont="1" applyFill="1" applyAlignment="1"/>
    <xf numFmtId="0" fontId="64" fillId="12" borderId="50" xfId="4" applyFont="1" applyFill="1" applyBorder="1" applyAlignment="1">
      <alignment horizontal="center" vertical="center" wrapText="1"/>
    </xf>
    <xf numFmtId="176" fontId="42" fillId="0" borderId="0" xfId="4" applyNumberFormat="1" applyFont="1" applyAlignment="1"/>
    <xf numFmtId="14" fontId="42" fillId="0" borderId="0" xfId="4" applyNumberFormat="1" applyFont="1" applyAlignment="1"/>
    <xf numFmtId="14" fontId="43" fillId="8" borderId="94" xfId="4" applyNumberFormat="1" applyFont="1" applyFill="1" applyBorder="1" applyAlignment="1">
      <alignment horizontal="center" vertical="center"/>
    </xf>
    <xf numFmtId="14" fontId="44" fillId="0" borderId="0" xfId="4" applyNumberFormat="1" applyFont="1" applyAlignment="1"/>
    <xf numFmtId="14" fontId="32" fillId="0" borderId="0" xfId="4" applyNumberFormat="1" applyFont="1" applyAlignment="1"/>
    <xf numFmtId="4" fontId="44" fillId="0" borderId="0" xfId="4" applyNumberFormat="1" applyFont="1" applyAlignment="1"/>
    <xf numFmtId="0" fontId="65" fillId="0" borderId="50" xfId="4" applyFont="1" applyBorder="1" applyAlignment="1">
      <alignment horizontal="center" vertical="center" wrapText="1"/>
    </xf>
    <xf numFmtId="0" fontId="65" fillId="0" borderId="50" xfId="4" applyFont="1" applyBorder="1" applyAlignment="1">
      <alignment horizontal="left" vertical="center" wrapText="1"/>
    </xf>
    <xf numFmtId="4" fontId="64" fillId="0" borderId="50" xfId="5" applyNumberFormat="1" applyFont="1" applyFill="1" applyBorder="1" applyAlignment="1">
      <alignment vertical="center" wrapText="1"/>
    </xf>
    <xf numFmtId="4" fontId="64" fillId="0" borderId="50" xfId="5" applyNumberFormat="1" applyFont="1" applyFill="1" applyBorder="1" applyAlignment="1">
      <alignment horizontal="center" vertical="center" wrapText="1"/>
    </xf>
    <xf numFmtId="4" fontId="65" fillId="0" borderId="63" xfId="5" applyNumberFormat="1" applyFont="1" applyFill="1" applyBorder="1" applyAlignment="1">
      <alignment horizontal="center" vertical="center" wrapText="1"/>
    </xf>
    <xf numFmtId="4" fontId="65" fillId="0" borderId="50" xfId="5" applyNumberFormat="1" applyFont="1" applyFill="1" applyBorder="1" applyAlignment="1">
      <alignment horizontal="center" vertical="center" wrapText="1"/>
    </xf>
    <xf numFmtId="4" fontId="65" fillId="0" borderId="88" xfId="5" applyNumberFormat="1" applyFont="1" applyFill="1" applyBorder="1" applyAlignment="1">
      <alignment horizontal="center" vertical="center" wrapText="1"/>
    </xf>
    <xf numFmtId="4" fontId="65" fillId="0" borderId="89" xfId="5" applyNumberFormat="1" applyFont="1" applyFill="1" applyBorder="1" applyAlignment="1">
      <alignment horizontal="center" vertical="center" wrapText="1"/>
    </xf>
    <xf numFmtId="10" fontId="65" fillId="0" borderId="88" xfId="5" applyNumberFormat="1" applyFont="1" applyFill="1" applyBorder="1" applyAlignment="1">
      <alignment horizontal="center" vertical="center" wrapText="1"/>
    </xf>
    <xf numFmtId="4" fontId="64" fillId="0" borderId="87" xfId="5" applyNumberFormat="1" applyFont="1" applyFill="1" applyBorder="1" applyAlignment="1">
      <alignment horizontal="center" vertical="center" wrapText="1"/>
    </xf>
    <xf numFmtId="10" fontId="64" fillId="0" borderId="88" xfId="5" applyNumberFormat="1" applyFont="1" applyFill="1" applyBorder="1" applyAlignment="1">
      <alignment horizontal="center" vertical="center" wrapText="1"/>
    </xf>
    <xf numFmtId="0" fontId="64" fillId="12" borderId="50" xfId="4" applyFont="1" applyFill="1" applyBorder="1" applyAlignment="1">
      <alignment horizontal="left" vertical="center" wrapText="1"/>
    </xf>
    <xf numFmtId="4" fontId="64" fillId="12" borderId="50" xfId="5" applyNumberFormat="1" applyFont="1" applyFill="1" applyBorder="1" applyAlignment="1">
      <alignment horizontal="center" vertical="center" wrapText="1"/>
    </xf>
    <xf numFmtId="4" fontId="64" fillId="12" borderId="87" xfId="5" applyNumberFormat="1" applyFont="1" applyFill="1" applyBorder="1" applyAlignment="1">
      <alignment horizontal="center" vertical="center" wrapText="1"/>
    </xf>
    <xf numFmtId="10" fontId="64" fillId="12" borderId="88" xfId="5" applyNumberFormat="1" applyFont="1" applyFill="1" applyBorder="1" applyAlignment="1">
      <alignment horizontal="center" vertical="center" wrapText="1"/>
    </xf>
    <xf numFmtId="0" fontId="64" fillId="0" borderId="50" xfId="4" applyFont="1" applyBorder="1" applyAlignment="1">
      <alignment horizontal="center" vertical="center" wrapText="1"/>
    </xf>
    <xf numFmtId="4" fontId="65" fillId="0" borderId="50" xfId="5" applyNumberFormat="1" applyFont="1" applyFill="1" applyBorder="1" applyAlignment="1">
      <alignment vertical="center" wrapText="1"/>
    </xf>
    <xf numFmtId="4" fontId="65" fillId="8" borderId="50" xfId="5" applyNumberFormat="1" applyFont="1" applyFill="1" applyBorder="1" applyAlignment="1">
      <alignment vertical="center" wrapText="1"/>
    </xf>
    <xf numFmtId="0" fontId="64" fillId="0" borderId="50" xfId="4" applyFont="1" applyBorder="1" applyAlignment="1">
      <alignment horizontal="left" vertical="center" wrapText="1"/>
    </xf>
    <xf numFmtId="4" fontId="64" fillId="0" borderId="112" xfId="5" applyNumberFormat="1" applyFont="1" applyFill="1" applyBorder="1" applyAlignment="1">
      <alignment horizontal="center" vertical="center" wrapText="1"/>
    </xf>
    <xf numFmtId="0" fontId="65" fillId="12" borderId="50" xfId="4" applyFont="1" applyFill="1" applyBorder="1" applyAlignment="1">
      <alignment horizontal="center" vertical="center" wrapText="1"/>
    </xf>
    <xf numFmtId="0" fontId="65" fillId="12" borderId="50" xfId="4" applyFont="1" applyFill="1" applyBorder="1" applyAlignment="1">
      <alignment horizontal="left" vertical="center" wrapText="1"/>
    </xf>
    <xf numFmtId="10" fontId="65" fillId="8" borderId="88" xfId="5" applyNumberFormat="1" applyFont="1" applyFill="1" applyBorder="1" applyAlignment="1">
      <alignment horizontal="center" vertical="center" wrapText="1"/>
    </xf>
    <xf numFmtId="0" fontId="64" fillId="0" borderId="51" xfId="4" applyFont="1" applyBorder="1" applyAlignment="1">
      <alignment horizontal="center" vertical="center" wrapText="1"/>
    </xf>
    <xf numFmtId="0" fontId="64" fillId="0" borderId="51" xfId="4" applyFont="1" applyBorder="1" applyAlignment="1">
      <alignment horizontal="left" vertical="center" wrapText="1"/>
    </xf>
    <xf numFmtId="0" fontId="64" fillId="0" borderId="55" xfId="4" applyFont="1" applyBorder="1" applyAlignment="1">
      <alignment horizontal="center" vertical="center" wrapText="1"/>
    </xf>
    <xf numFmtId="49" fontId="65" fillId="0" borderId="55" xfId="4" applyNumberFormat="1" applyFont="1" applyBorder="1" applyAlignment="1">
      <alignment horizontal="center" vertical="center" wrapText="1"/>
    </xf>
    <xf numFmtId="10" fontId="65" fillId="0" borderId="84" xfId="6" applyNumberFormat="1" applyFont="1" applyFill="1" applyBorder="1" applyAlignment="1">
      <alignment vertical="center" wrapText="1"/>
    </xf>
    <xf numFmtId="0" fontId="64" fillId="12" borderId="50" xfId="4" quotePrefix="1" applyFont="1" applyFill="1" applyBorder="1" applyAlignment="1">
      <alignment horizontal="center" vertical="center" wrapText="1"/>
    </xf>
    <xf numFmtId="4" fontId="64" fillId="8" borderId="50" xfId="5" applyNumberFormat="1" applyFont="1" applyFill="1" applyBorder="1" applyAlignment="1">
      <alignment horizontal="center" vertical="center" wrapText="1"/>
    </xf>
    <xf numFmtId="10" fontId="64" fillId="8" borderId="88" xfId="5" applyNumberFormat="1" applyFont="1" applyFill="1" applyBorder="1" applyAlignment="1">
      <alignment horizontal="center" vertical="center" wrapText="1"/>
    </xf>
    <xf numFmtId="4" fontId="44" fillId="8" borderId="0" xfId="4" applyNumberFormat="1" applyFont="1" applyFill="1" applyAlignment="1"/>
    <xf numFmtId="0" fontId="44" fillId="8" borderId="0" xfId="4" applyFont="1" applyFill="1" applyAlignment="1"/>
    <xf numFmtId="4" fontId="44" fillId="12" borderId="0" xfId="4" applyNumberFormat="1" applyFont="1" applyFill="1" applyAlignment="1"/>
    <xf numFmtId="0" fontId="61" fillId="45" borderId="15" xfId="0" applyFont="1" applyFill="1" applyBorder="1" applyAlignment="1">
      <alignment horizontal="center"/>
    </xf>
    <xf numFmtId="0" fontId="61" fillId="45" borderId="15" xfId="0" applyFont="1" applyFill="1" applyBorder="1" applyAlignment="1">
      <alignment wrapText="1"/>
    </xf>
    <xf numFmtId="4" fontId="65" fillId="8" borderId="50" xfId="5" applyNumberFormat="1" applyFont="1" applyFill="1" applyBorder="1" applyAlignment="1">
      <alignment horizontal="center" vertical="center" wrapText="1"/>
    </xf>
    <xf numFmtId="4" fontId="29" fillId="8" borderId="0" xfId="4" applyNumberFormat="1" applyFont="1" applyFill="1" applyAlignment="1"/>
    <xf numFmtId="0" fontId="29" fillId="8" borderId="0" xfId="4" applyFont="1" applyFill="1" applyAlignment="1"/>
    <xf numFmtId="4" fontId="44" fillId="0" borderId="0" xfId="4" applyNumberFormat="1" applyFont="1" applyAlignment="1">
      <alignment horizontal="center" vertical="center"/>
    </xf>
    <xf numFmtId="0" fontId="61" fillId="0" borderId="15" xfId="0" applyFont="1" applyBorder="1" applyAlignment="1">
      <alignment wrapText="1"/>
    </xf>
    <xf numFmtId="0" fontId="64" fillId="12" borderId="50" xfId="4" applyFont="1" applyFill="1" applyBorder="1" applyAlignment="1">
      <alignment horizontal="left" vertical="top" wrapText="1"/>
    </xf>
    <xf numFmtId="0" fontId="61" fillId="0" borderId="15" xfId="0" applyFont="1" applyBorder="1" applyAlignment="1">
      <alignment horizontal="center"/>
    </xf>
    <xf numFmtId="0" fontId="0" fillId="45" borderId="15" xfId="0" applyFill="1" applyBorder="1" applyAlignment="1">
      <alignment horizontal="center" vertical="center"/>
    </xf>
    <xf numFmtId="170" fontId="31" fillId="45" borderId="15" xfId="5" applyFont="1" applyFill="1" applyBorder="1" applyAlignment="1">
      <alignment horizontal="center" vertical="center" wrapText="1"/>
    </xf>
    <xf numFmtId="0" fontId="32" fillId="47" borderId="15" xfId="4" applyFont="1" applyFill="1" applyBorder="1" applyAlignment="1">
      <alignment horizontal="center" vertical="center" wrapText="1"/>
    </xf>
    <xf numFmtId="0" fontId="31" fillId="47" borderId="15" xfId="4" applyFont="1" applyFill="1" applyBorder="1" applyAlignment="1">
      <alignment horizontal="left" vertical="center" wrapText="1"/>
    </xf>
    <xf numFmtId="4" fontId="32" fillId="47" borderId="15" xfId="5" applyNumberFormat="1" applyFont="1" applyFill="1" applyBorder="1" applyAlignment="1">
      <alignment horizontal="center" vertical="center" wrapText="1"/>
    </xf>
    <xf numFmtId="0" fontId="64" fillId="8" borderId="50" xfId="4" applyFont="1" applyFill="1" applyBorder="1" applyAlignment="1">
      <alignment horizontal="center" vertical="center" wrapText="1"/>
    </xf>
    <xf numFmtId="0" fontId="64" fillId="8" borderId="50" xfId="4" applyFont="1" applyFill="1" applyBorder="1" applyAlignment="1">
      <alignment horizontal="left" vertical="center" wrapText="1"/>
    </xf>
    <xf numFmtId="4" fontId="32" fillId="48" borderId="15" xfId="5" applyNumberFormat="1" applyFont="1" applyFill="1" applyBorder="1" applyAlignment="1">
      <alignment horizontal="center" vertical="center" wrapText="1"/>
    </xf>
    <xf numFmtId="0" fontId="65" fillId="8" borderId="50" xfId="4" applyFont="1" applyFill="1" applyBorder="1" applyAlignment="1">
      <alignment horizontal="left" vertical="center" wrapText="1"/>
    </xf>
    <xf numFmtId="0" fontId="32" fillId="48" borderId="15" xfId="4" applyFont="1" applyFill="1" applyBorder="1" applyAlignment="1">
      <alignment horizontal="center" vertical="center" wrapText="1"/>
    </xf>
    <xf numFmtId="0" fontId="32" fillId="48" borderId="15" xfId="4" applyFont="1" applyFill="1" applyBorder="1" applyAlignment="1">
      <alignment horizontal="left" vertical="center" wrapText="1"/>
    </xf>
    <xf numFmtId="0" fontId="31" fillId="48" borderId="15" xfId="4" applyFont="1" applyFill="1" applyBorder="1" applyAlignment="1">
      <alignment horizontal="left" vertical="center" wrapText="1"/>
    </xf>
    <xf numFmtId="177" fontId="44" fillId="0" borderId="0" xfId="4" applyNumberFormat="1" applyFont="1" applyAlignment="1"/>
    <xf numFmtId="4" fontId="24" fillId="0" borderId="83" xfId="5" applyNumberFormat="1" applyFont="1" applyFill="1" applyBorder="1" applyAlignment="1">
      <alignment horizontal="center" vertical="center"/>
    </xf>
    <xf numFmtId="4" fontId="44" fillId="0" borderId="0" xfId="4" applyNumberFormat="1" applyFont="1" applyAlignment="1">
      <alignment horizontal="center"/>
    </xf>
    <xf numFmtId="4" fontId="67" fillId="46" borderId="0" xfId="4" applyNumberFormat="1" applyFont="1" applyFill="1" applyAlignment="1">
      <alignment horizontal="center" vertical="center"/>
    </xf>
    <xf numFmtId="10" fontId="64" fillId="0" borderId="113" xfId="5" applyNumberFormat="1" applyFont="1" applyFill="1" applyBorder="1" applyAlignment="1">
      <alignment horizontal="center" vertical="center" wrapText="1"/>
    </xf>
    <xf numFmtId="170" fontId="31" fillId="0" borderId="118" xfId="5" applyFont="1" applyFill="1" applyBorder="1" applyAlignment="1">
      <alignment horizontal="center" vertical="center" wrapText="1"/>
    </xf>
    <xf numFmtId="4" fontId="31" fillId="0" borderId="114" xfId="5" applyNumberFormat="1" applyFont="1" applyFill="1" applyBorder="1" applyAlignment="1">
      <alignment horizontal="center" vertical="center" wrapText="1"/>
    </xf>
    <xf numFmtId="4" fontId="64" fillId="12" borderId="112" xfId="5" applyNumberFormat="1" applyFont="1" applyFill="1" applyBorder="1" applyAlignment="1">
      <alignment horizontal="center" vertical="center" wrapText="1"/>
    </xf>
    <xf numFmtId="4" fontId="65" fillId="8" borderId="89" xfId="5" applyNumberFormat="1" applyFont="1" applyFill="1" applyBorder="1" applyAlignment="1">
      <alignment horizontal="center" vertical="center" wrapText="1"/>
    </xf>
    <xf numFmtId="4" fontId="64" fillId="8" borderId="112" xfId="5" applyNumberFormat="1" applyFont="1" applyFill="1" applyBorder="1" applyAlignment="1">
      <alignment horizontal="center" vertical="center" wrapText="1"/>
    </xf>
    <xf numFmtId="4" fontId="65" fillId="8" borderId="112" xfId="5" applyNumberFormat="1" applyFont="1" applyFill="1" applyBorder="1" applyAlignment="1">
      <alignment horizontal="center" vertical="center" wrapText="1"/>
    </xf>
    <xf numFmtId="4" fontId="31" fillId="0" borderId="0" xfId="4" applyNumberFormat="1" applyFont="1" applyAlignment="1"/>
    <xf numFmtId="4" fontId="44" fillId="49" borderId="0" xfId="4" applyNumberFormat="1" applyFont="1" applyFill="1" applyAlignment="1"/>
    <xf numFmtId="4" fontId="65" fillId="0" borderId="121" xfId="5" applyNumberFormat="1" applyFont="1" applyFill="1" applyBorder="1" applyAlignment="1">
      <alignment horizontal="center" vertical="center" wrapText="1"/>
    </xf>
    <xf numFmtId="4" fontId="64" fillId="12" borderId="88" xfId="5" applyNumberFormat="1" applyFont="1" applyFill="1" applyBorder="1" applyAlignment="1">
      <alignment horizontal="center" vertical="center" wrapText="1"/>
    </xf>
    <xf numFmtId="4" fontId="64" fillId="0" borderId="88" xfId="5" applyNumberFormat="1" applyFont="1" applyFill="1" applyBorder="1" applyAlignment="1">
      <alignment horizontal="center" vertical="center" wrapText="1"/>
    </xf>
    <xf numFmtId="4" fontId="64" fillId="8" borderId="88" xfId="5" applyNumberFormat="1" applyFont="1" applyFill="1" applyBorder="1" applyAlignment="1">
      <alignment horizontal="center" vertical="center" wrapText="1"/>
    </xf>
    <xf numFmtId="4" fontId="65" fillId="8" borderId="88" xfId="5" applyNumberFormat="1" applyFont="1" applyFill="1" applyBorder="1" applyAlignment="1">
      <alignment horizontal="center" vertical="center" wrapText="1"/>
    </xf>
    <xf numFmtId="170" fontId="31" fillId="45" borderId="54" xfId="5" applyFont="1" applyFill="1" applyBorder="1" applyAlignment="1">
      <alignment horizontal="center" vertical="center" wrapText="1"/>
    </xf>
    <xf numFmtId="0" fontId="64" fillId="0" borderId="91" xfId="4" applyFont="1" applyBorder="1" applyAlignment="1">
      <alignment horizontal="center" vertical="center" wrapText="1"/>
    </xf>
    <xf numFmtId="10" fontId="65" fillId="0" borderId="66" xfId="6" applyNumberFormat="1" applyFont="1" applyFill="1" applyBorder="1" applyAlignment="1">
      <alignment vertical="center" wrapText="1"/>
    </xf>
    <xf numFmtId="0" fontId="19" fillId="6" borderId="30" xfId="1" applyFont="1" applyFill="1" applyBorder="1" applyAlignment="1">
      <alignment horizontal="right" vertical="center" wrapText="1"/>
    </xf>
    <xf numFmtId="0" fontId="15" fillId="0" borderId="16" xfId="1" applyBorder="1" applyAlignment="1">
      <alignment horizontal="center"/>
    </xf>
    <xf numFmtId="0" fontId="15" fillId="0" borderId="17" xfId="1" applyBorder="1" applyAlignment="1">
      <alignment horizontal="center"/>
    </xf>
    <xf numFmtId="0" fontId="15" fillId="0" borderId="36" xfId="1" applyBorder="1" applyAlignment="1">
      <alignment horizontal="center"/>
    </xf>
    <xf numFmtId="0" fontId="15" fillId="0" borderId="18" xfId="1" applyBorder="1" applyAlignment="1">
      <alignment horizontal="center"/>
    </xf>
    <xf numFmtId="0" fontId="15" fillId="0" borderId="19" xfId="1" applyBorder="1" applyAlignment="1">
      <alignment horizontal="center"/>
    </xf>
    <xf numFmtId="0" fontId="15" fillId="0" borderId="37" xfId="1" applyBorder="1" applyAlignment="1">
      <alignment horizontal="center"/>
    </xf>
    <xf numFmtId="0" fontId="16" fillId="4" borderId="20" xfId="1" applyFont="1" applyFill="1" applyBorder="1" applyAlignment="1">
      <alignment horizontal="center"/>
    </xf>
    <xf numFmtId="0" fontId="16" fillId="4" borderId="21" xfId="1" applyFont="1" applyFill="1" applyBorder="1" applyAlignment="1">
      <alignment horizontal="center"/>
    </xf>
    <xf numFmtId="0" fontId="16" fillId="4" borderId="38" xfId="1" applyFont="1" applyFill="1" applyBorder="1" applyAlignment="1">
      <alignment horizontal="center"/>
    </xf>
    <xf numFmtId="0" fontId="20" fillId="0" borderId="22" xfId="1" applyFont="1" applyBorder="1" applyAlignment="1">
      <alignment horizontal="left" vertical="center" wrapText="1"/>
    </xf>
    <xf numFmtId="0" fontId="20" fillId="0" borderId="23" xfId="1" applyFont="1" applyBorder="1" applyAlignment="1">
      <alignment horizontal="left" vertical="center" wrapText="1"/>
    </xf>
    <xf numFmtId="0" fontId="20" fillId="0" borderId="39" xfId="1" applyFont="1" applyBorder="1" applyAlignment="1">
      <alignment horizontal="left" vertical="center" wrapText="1"/>
    </xf>
    <xf numFmtId="0" fontId="17" fillId="0" borderId="24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170" fontId="29" fillId="0" borderId="0" xfId="5" applyFont="1" applyFill="1" applyBorder="1" applyAlignment="1">
      <alignment horizontal="center"/>
    </xf>
    <xf numFmtId="49" fontId="31" fillId="8" borderId="7" xfId="4" applyNumberFormat="1" applyFont="1" applyFill="1" applyBorder="1" applyAlignment="1">
      <alignment horizontal="center" vertical="center"/>
    </xf>
    <xf numFmtId="49" fontId="31" fillId="8" borderId="8" xfId="4" applyNumberFormat="1" applyFont="1" applyFill="1" applyBorder="1" applyAlignment="1">
      <alignment horizontal="center" vertical="center"/>
    </xf>
    <xf numFmtId="4" fontId="65" fillId="0" borderId="117" xfId="4" applyNumberFormat="1" applyFont="1" applyBorder="1" applyAlignment="1">
      <alignment horizontal="center" vertical="center" wrapText="1"/>
    </xf>
    <xf numFmtId="4" fontId="65" fillId="0" borderId="116" xfId="4" applyNumberFormat="1" applyFont="1" applyBorder="1" applyAlignment="1">
      <alignment horizontal="center" vertical="center" wrapText="1"/>
    </xf>
    <xf numFmtId="4" fontId="42" fillId="8" borderId="2" xfId="5" applyNumberFormat="1" applyFont="1" applyFill="1" applyBorder="1" applyAlignment="1">
      <alignment horizontal="center" vertical="center" wrapText="1"/>
    </xf>
    <xf numFmtId="4" fontId="42" fillId="8" borderId="3" xfId="5" applyNumberFormat="1" applyFont="1" applyFill="1" applyBorder="1" applyAlignment="1">
      <alignment horizontal="center" vertical="center" wrapText="1"/>
    </xf>
    <xf numFmtId="4" fontId="42" fillId="8" borderId="4" xfId="5" applyNumberFormat="1" applyFont="1" applyFill="1" applyBorder="1" applyAlignment="1">
      <alignment horizontal="center" vertical="center" wrapText="1"/>
    </xf>
    <xf numFmtId="14" fontId="43" fillId="8" borderId="95" xfId="4" applyNumberFormat="1" applyFont="1" applyFill="1" applyBorder="1" applyAlignment="1">
      <alignment horizontal="center" vertical="center"/>
    </xf>
    <xf numFmtId="14" fontId="43" fillId="8" borderId="4" xfId="4" applyNumberFormat="1" applyFont="1" applyFill="1" applyBorder="1" applyAlignment="1">
      <alignment horizontal="center" vertical="center"/>
    </xf>
    <xf numFmtId="0" fontId="43" fillId="8" borderId="61" xfId="4" applyFont="1" applyFill="1" applyBorder="1" applyAlignment="1">
      <alignment horizontal="center" vertical="center" wrapText="1"/>
    </xf>
    <xf numFmtId="0" fontId="43" fillId="8" borderId="111" xfId="4" applyFont="1" applyFill="1" applyBorder="1" applyAlignment="1">
      <alignment horizontal="center" vertical="center" wrapText="1"/>
    </xf>
    <xf numFmtId="49" fontId="31" fillId="8" borderId="12" xfId="4" applyNumberFormat="1" applyFont="1" applyFill="1" applyBorder="1" applyAlignment="1">
      <alignment horizontal="center" vertical="center" wrapText="1"/>
    </xf>
    <xf numFmtId="49" fontId="31" fillId="8" borderId="13" xfId="4" applyNumberFormat="1" applyFont="1" applyFill="1" applyBorder="1" applyAlignment="1">
      <alignment horizontal="center" vertical="center" wrapText="1"/>
    </xf>
    <xf numFmtId="49" fontId="31" fillId="8" borderId="0" xfId="4" applyNumberFormat="1" applyFont="1" applyFill="1" applyAlignment="1">
      <alignment horizontal="center" vertical="center" wrapText="1"/>
    </xf>
    <xf numFmtId="49" fontId="31" fillId="8" borderId="9" xfId="4" applyNumberFormat="1" applyFont="1" applyFill="1" applyBorder="1" applyAlignment="1">
      <alignment horizontal="center" vertical="center" wrapText="1"/>
    </xf>
    <xf numFmtId="0" fontId="43" fillId="8" borderId="12" xfId="4" applyFont="1" applyFill="1" applyBorder="1" applyAlignment="1">
      <alignment horizontal="center" vertical="center"/>
    </xf>
    <xf numFmtId="0" fontId="43" fillId="8" borderId="13" xfId="4" applyFont="1" applyFill="1" applyBorder="1" applyAlignment="1">
      <alignment horizontal="center" vertical="center"/>
    </xf>
    <xf numFmtId="170" fontId="44" fillId="0" borderId="0" xfId="5" applyFont="1" applyFill="1" applyBorder="1" applyAlignment="1">
      <alignment horizontal="center"/>
    </xf>
    <xf numFmtId="0" fontId="43" fillId="0" borderId="52" xfId="5" applyNumberFormat="1" applyFont="1" applyFill="1" applyBorder="1" applyAlignment="1">
      <alignment horizontal="left" vertical="center"/>
    </xf>
    <xf numFmtId="0" fontId="43" fillId="0" borderId="46" xfId="5" applyNumberFormat="1" applyFont="1" applyFill="1" applyBorder="1" applyAlignment="1">
      <alignment horizontal="left" vertical="center"/>
    </xf>
    <xf numFmtId="0" fontId="43" fillId="0" borderId="48" xfId="5" applyNumberFormat="1" applyFont="1" applyFill="1" applyBorder="1" applyAlignment="1">
      <alignment horizontal="left" vertical="center"/>
    </xf>
    <xf numFmtId="0" fontId="43" fillId="0" borderId="52" xfId="5" applyNumberFormat="1" applyFont="1" applyFill="1" applyBorder="1" applyAlignment="1">
      <alignment horizontal="right" vertical="center"/>
    </xf>
    <xf numFmtId="0" fontId="43" fillId="0" borderId="46" xfId="5" applyNumberFormat="1" applyFont="1" applyFill="1" applyBorder="1" applyAlignment="1">
      <alignment horizontal="right" vertical="center"/>
    </xf>
    <xf numFmtId="49" fontId="43" fillId="0" borderId="61" xfId="4" applyNumberFormat="1" applyFont="1" applyBorder="1" applyAlignment="1">
      <alignment horizontal="left" vertical="center" wrapText="1"/>
    </xf>
    <xf numFmtId="49" fontId="43" fillId="0" borderId="96" xfId="4" applyNumberFormat="1" applyFont="1" applyBorder="1" applyAlignment="1">
      <alignment horizontal="left" vertical="center" wrapText="1"/>
    </xf>
    <xf numFmtId="49" fontId="43" fillId="0" borderId="97" xfId="4" applyNumberFormat="1" applyFont="1" applyBorder="1" applyAlignment="1">
      <alignment horizontal="left" vertical="center" wrapText="1"/>
    </xf>
    <xf numFmtId="170" fontId="43" fillId="0" borderId="123" xfId="4" applyNumberFormat="1" applyFont="1" applyBorder="1" applyAlignment="1">
      <alignment horizontal="center" vertical="center"/>
    </xf>
    <xf numFmtId="170" fontId="43" fillId="0" borderId="119" xfId="4" applyNumberFormat="1" applyFont="1" applyBorder="1" applyAlignment="1">
      <alignment horizontal="center" vertical="center"/>
    </xf>
    <xf numFmtId="170" fontId="43" fillId="0" borderId="122" xfId="4" applyNumberFormat="1" applyFont="1" applyBorder="1" applyAlignment="1">
      <alignment horizontal="center" vertical="center"/>
    </xf>
    <xf numFmtId="0" fontId="31" fillId="0" borderId="115" xfId="4" applyFont="1" applyBorder="1" applyAlignment="1">
      <alignment horizontal="center" vertical="center"/>
    </xf>
    <xf numFmtId="0" fontId="31" fillId="0" borderId="109" xfId="4" applyFont="1" applyBorder="1" applyAlignment="1">
      <alignment horizontal="center" vertical="center"/>
    </xf>
    <xf numFmtId="0" fontId="31" fillId="0" borderId="110" xfId="4" applyFont="1" applyBorder="1" applyAlignment="1">
      <alignment horizontal="center" vertical="center"/>
    </xf>
    <xf numFmtId="0" fontId="31" fillId="0" borderId="120" xfId="4" applyFont="1" applyBorder="1" applyAlignment="1">
      <alignment horizontal="center" vertical="center"/>
    </xf>
    <xf numFmtId="0" fontId="31" fillId="0" borderId="43" xfId="4" applyFont="1" applyBorder="1" applyAlignment="1">
      <alignment horizontal="center" vertical="center"/>
    </xf>
    <xf numFmtId="0" fontId="31" fillId="0" borderId="90" xfId="4" applyFont="1" applyBorder="1" applyAlignment="1">
      <alignment horizontal="center" vertical="center"/>
    </xf>
    <xf numFmtId="0" fontId="31" fillId="0" borderId="108" xfId="4" applyFont="1" applyBorder="1" applyAlignment="1">
      <alignment horizontal="center" vertical="center"/>
    </xf>
    <xf numFmtId="0" fontId="31" fillId="0" borderId="67" xfId="4" applyFont="1" applyBorder="1" applyAlignment="1">
      <alignment horizontal="center" vertical="center"/>
    </xf>
    <xf numFmtId="4" fontId="65" fillId="0" borderId="62" xfId="5" applyNumberFormat="1" applyFont="1" applyFill="1" applyBorder="1" applyAlignment="1">
      <alignment horizontal="center" vertical="center" wrapText="1"/>
    </xf>
    <xf numFmtId="4" fontId="65" fillId="0" borderId="46" xfId="5" applyNumberFormat="1" applyFont="1" applyFill="1" applyBorder="1" applyAlignment="1">
      <alignment horizontal="center" vertical="center" wrapText="1"/>
    </xf>
    <xf numFmtId="4" fontId="65" fillId="0" borderId="83" xfId="5" applyNumberFormat="1" applyFont="1" applyFill="1" applyBorder="1" applyAlignment="1">
      <alignment horizontal="center" vertical="center" wrapText="1"/>
    </xf>
    <xf numFmtId="4" fontId="65" fillId="0" borderId="1" xfId="4" applyNumberFormat="1" applyFont="1" applyBorder="1" applyAlignment="1">
      <alignment horizontal="center" vertical="center" wrapText="1"/>
    </xf>
    <xf numFmtId="0" fontId="43" fillId="8" borderId="2" xfId="4" applyFont="1" applyFill="1" applyBorder="1" applyAlignment="1">
      <alignment horizontal="center" vertical="center"/>
    </xf>
    <xf numFmtId="0" fontId="43" fillId="8" borderId="3" xfId="4" applyFont="1" applyFill="1" applyBorder="1" applyAlignment="1">
      <alignment horizontal="center" vertical="center"/>
    </xf>
    <xf numFmtId="0" fontId="43" fillId="8" borderId="4" xfId="4" applyFont="1" applyFill="1" applyBorder="1" applyAlignment="1">
      <alignment horizontal="center" vertical="center"/>
    </xf>
    <xf numFmtId="4" fontId="65" fillId="0" borderId="115" xfId="5" applyNumberFormat="1" applyFont="1" applyFill="1" applyBorder="1" applyAlignment="1">
      <alignment horizontal="center" vertical="center" wrapText="1"/>
    </xf>
    <xf numFmtId="0" fontId="42" fillId="8" borderId="2" xfId="4" applyFont="1" applyFill="1" applyBorder="1" applyAlignment="1">
      <alignment horizontal="center" vertical="center" wrapText="1"/>
    </xf>
    <xf numFmtId="0" fontId="42" fillId="8" borderId="4" xfId="4" applyFont="1" applyFill="1" applyBorder="1" applyAlignment="1">
      <alignment horizontal="center" vertical="center" wrapText="1"/>
    </xf>
    <xf numFmtId="4" fontId="65" fillId="0" borderId="64" xfId="4" applyNumberFormat="1" applyFont="1" applyBorder="1" applyAlignment="1">
      <alignment horizontal="center" vertical="center" wrapText="1"/>
    </xf>
    <xf numFmtId="4" fontId="65" fillId="0" borderId="59" xfId="4" applyNumberFormat="1" applyFont="1" applyBorder="1" applyAlignment="1">
      <alignment horizontal="center" vertical="center" wrapText="1"/>
    </xf>
    <xf numFmtId="0" fontId="32" fillId="8" borderId="0" xfId="7" applyFont="1" applyFill="1" applyAlignment="1">
      <alignment horizontal="justify" vertical="top" wrapText="1"/>
    </xf>
    <xf numFmtId="49" fontId="24" fillId="0" borderId="77" xfId="7" applyNumberFormat="1" applyFont="1" applyBorder="1" applyAlignment="1">
      <alignment horizontal="center" vertical="center" wrapText="1"/>
    </xf>
    <xf numFmtId="49" fontId="24" fillId="0" borderId="81" xfId="7" applyNumberFormat="1" applyFont="1" applyBorder="1" applyAlignment="1">
      <alignment horizontal="center" vertical="center" wrapText="1"/>
    </xf>
    <xf numFmtId="39" fontId="32" fillId="8" borderId="0" xfId="8" applyNumberFormat="1" applyFont="1" applyFill="1" applyBorder="1" applyAlignment="1">
      <alignment horizontal="left" vertical="top" wrapText="1"/>
    </xf>
    <xf numFmtId="170" fontId="29" fillId="0" borderId="80" xfId="8" applyFont="1" applyFill="1" applyBorder="1" applyAlignment="1">
      <alignment horizontal="center" vertical="center"/>
    </xf>
    <xf numFmtId="170" fontId="29" fillId="0" borderId="72" xfId="8" applyFont="1" applyFill="1" applyBorder="1" applyAlignment="1">
      <alignment horizontal="center" vertical="center"/>
    </xf>
    <xf numFmtId="0" fontId="24" fillId="0" borderId="78" xfId="7" applyFont="1" applyBorder="1" applyAlignment="1">
      <alignment horizontal="center" vertical="center"/>
    </xf>
    <xf numFmtId="0" fontId="24" fillId="0" borderId="74" xfId="7" applyFont="1" applyBorder="1" applyAlignment="1">
      <alignment horizontal="center" vertical="center"/>
    </xf>
    <xf numFmtId="39" fontId="27" fillId="0" borderId="11" xfId="8" applyNumberFormat="1" applyFont="1" applyFill="1" applyBorder="1" applyAlignment="1">
      <alignment horizontal="center" vertical="center"/>
    </xf>
    <xf numFmtId="39" fontId="27" fillId="0" borderId="12" xfId="8" applyNumberFormat="1" applyFont="1" applyFill="1" applyBorder="1" applyAlignment="1">
      <alignment horizontal="center" vertical="center"/>
    </xf>
    <xf numFmtId="39" fontId="27" fillId="0" borderId="13" xfId="8" applyNumberFormat="1" applyFont="1" applyFill="1" applyBorder="1" applyAlignment="1">
      <alignment horizontal="center" vertical="center"/>
    </xf>
    <xf numFmtId="170" fontId="24" fillId="0" borderId="79" xfId="8" applyFont="1" applyFill="1" applyBorder="1" applyAlignment="1">
      <alignment horizontal="center" vertical="center" wrapText="1"/>
    </xf>
    <xf numFmtId="170" fontId="24" fillId="0" borderId="82" xfId="8" applyFont="1" applyFill="1" applyBorder="1" applyAlignment="1">
      <alignment horizontal="center" vertical="center" wrapText="1"/>
    </xf>
    <xf numFmtId="0" fontId="28" fillId="0" borderId="68" xfId="7" applyFont="1" applyBorder="1" applyAlignment="1">
      <alignment horizontal="justify" vertical="center" wrapText="1"/>
    </xf>
    <xf numFmtId="0" fontId="28" fillId="0" borderId="69" xfId="7" applyFont="1" applyBorder="1" applyAlignment="1">
      <alignment horizontal="justify" vertical="center" wrapText="1"/>
    </xf>
    <xf numFmtId="0" fontId="28" fillId="0" borderId="70" xfId="7" applyFont="1" applyBorder="1" applyAlignment="1">
      <alignment horizontal="justify" vertical="center" wrapText="1"/>
    </xf>
    <xf numFmtId="0" fontId="28" fillId="0" borderId="68" xfId="7" applyFont="1" applyBorder="1" applyAlignment="1">
      <alignment horizontal="left" vertical="center" wrapText="1"/>
    </xf>
    <xf numFmtId="0" fontId="28" fillId="0" borderId="69" xfId="7" applyFont="1" applyBorder="1" applyAlignment="1">
      <alignment horizontal="left" vertical="center" wrapText="1"/>
    </xf>
    <xf numFmtId="0" fontId="28" fillId="0" borderId="70" xfId="7" applyFont="1" applyBorder="1" applyAlignment="1">
      <alignment horizontal="left" vertical="center" wrapText="1"/>
    </xf>
    <xf numFmtId="170" fontId="24" fillId="0" borderId="78" xfId="8" applyFont="1" applyFill="1" applyBorder="1" applyAlignment="1">
      <alignment horizontal="center" vertical="center" wrapText="1"/>
    </xf>
    <xf numFmtId="170" fontId="24" fillId="0" borderId="71" xfId="8" applyFont="1" applyFill="1" applyBorder="1" applyAlignment="1">
      <alignment horizontal="center" vertical="center" wrapText="1"/>
    </xf>
    <xf numFmtId="170" fontId="24" fillId="0" borderId="74" xfId="8" applyFont="1" applyFill="1" applyBorder="1" applyAlignment="1">
      <alignment horizontal="center" vertical="center" wrapText="1"/>
    </xf>
    <xf numFmtId="170" fontId="24" fillId="0" borderId="73" xfId="8" applyFont="1" applyFill="1" applyBorder="1" applyAlignment="1">
      <alignment horizontal="center" vertical="center" wrapText="1"/>
    </xf>
    <xf numFmtId="0" fontId="36" fillId="0" borderId="91" xfId="7" applyFont="1" applyBorder="1" applyAlignment="1">
      <alignment horizontal="justify" vertical="center" wrapText="1"/>
    </xf>
    <xf numFmtId="0" fontId="36" fillId="0" borderId="92" xfId="7" applyFont="1" applyBorder="1" applyAlignment="1">
      <alignment horizontal="justify" vertical="center" wrapText="1"/>
    </xf>
    <xf numFmtId="0" fontId="36" fillId="0" borderId="93" xfId="7" applyFont="1" applyBorder="1" applyAlignment="1">
      <alignment horizontal="justify" vertical="center" wrapText="1"/>
    </xf>
    <xf numFmtId="170" fontId="22" fillId="8" borderId="0" xfId="8" applyFont="1" applyFill="1" applyBorder="1" applyAlignment="1">
      <alignment horizontal="center" vertical="top" wrapText="1"/>
    </xf>
    <xf numFmtId="170" fontId="22" fillId="8" borderId="0" xfId="8" applyFont="1" applyFill="1" applyBorder="1" applyAlignment="1">
      <alignment horizontal="center" vertical="top"/>
    </xf>
    <xf numFmtId="170" fontId="21" fillId="0" borderId="45" xfId="8" applyFont="1" applyFill="1" applyBorder="1" applyAlignment="1">
      <alignment horizontal="center" vertical="center" wrapText="1"/>
    </xf>
    <xf numFmtId="170" fontId="21" fillId="0" borderId="58" xfId="8" applyFont="1" applyFill="1" applyBorder="1" applyAlignment="1">
      <alignment horizontal="center" vertical="center" wrapText="1"/>
    </xf>
    <xf numFmtId="0" fontId="18" fillId="0" borderId="68" xfId="7" applyFont="1" applyBorder="1" applyAlignment="1">
      <alignment horizontal="justify" vertical="center" wrapText="1"/>
    </xf>
    <xf numFmtId="0" fontId="18" fillId="0" borderId="69" xfId="7" applyFont="1" applyBorder="1" applyAlignment="1">
      <alignment horizontal="justify" vertical="center" wrapText="1"/>
    </xf>
    <xf numFmtId="0" fontId="18" fillId="8" borderId="0" xfId="7" applyFont="1" applyFill="1" applyAlignment="1">
      <alignment horizontal="justify" vertical="top" wrapText="1"/>
    </xf>
    <xf numFmtId="39" fontId="18" fillId="8" borderId="0" xfId="8" applyNumberFormat="1" applyFont="1" applyFill="1" applyBorder="1" applyAlignment="1">
      <alignment horizontal="left" vertical="top" wrapText="1"/>
    </xf>
    <xf numFmtId="39" fontId="22" fillId="0" borderId="11" xfId="8" applyNumberFormat="1" applyFont="1" applyFill="1" applyBorder="1" applyAlignment="1">
      <alignment horizontal="center" vertical="center"/>
    </xf>
    <xf numFmtId="39" fontId="22" fillId="0" borderId="12" xfId="8" applyNumberFormat="1" applyFont="1" applyFill="1" applyBorder="1" applyAlignment="1">
      <alignment horizontal="center" vertical="center"/>
    </xf>
    <xf numFmtId="39" fontId="22" fillId="0" borderId="13" xfId="8" applyNumberFormat="1" applyFont="1" applyFill="1" applyBorder="1" applyAlignment="1">
      <alignment horizontal="center" vertical="center"/>
    </xf>
    <xf numFmtId="49" fontId="21" fillId="0" borderId="77" xfId="7" applyNumberFormat="1" applyFont="1" applyBorder="1" applyAlignment="1">
      <alignment horizontal="center" vertical="center" wrapText="1"/>
    </xf>
    <xf numFmtId="49" fontId="21" fillId="0" borderId="81" xfId="7" applyNumberFormat="1" applyFont="1" applyBorder="1" applyAlignment="1">
      <alignment horizontal="center" vertical="center" wrapText="1"/>
    </xf>
    <xf numFmtId="0" fontId="21" fillId="0" borderId="78" xfId="7" applyFont="1" applyBorder="1" applyAlignment="1">
      <alignment horizontal="center" vertical="center"/>
    </xf>
    <xf numFmtId="0" fontId="21" fillId="0" borderId="74" xfId="7" applyFont="1" applyBorder="1" applyAlignment="1">
      <alignment horizontal="center" vertical="center"/>
    </xf>
    <xf numFmtId="170" fontId="21" fillId="0" borderId="79" xfId="8" applyFont="1" applyFill="1" applyBorder="1" applyAlignment="1">
      <alignment horizontal="center" vertical="center" wrapText="1"/>
    </xf>
    <xf numFmtId="170" fontId="21" fillId="0" borderId="82" xfId="8" applyFont="1" applyFill="1" applyBorder="1" applyAlignment="1">
      <alignment horizontal="center" vertical="center" wrapText="1"/>
    </xf>
    <xf numFmtId="170" fontId="21" fillId="0" borderId="78" xfId="8" applyFont="1" applyFill="1" applyBorder="1" applyAlignment="1">
      <alignment horizontal="center" vertical="center" wrapText="1"/>
    </xf>
    <xf numFmtId="170" fontId="21" fillId="0" borderId="71" xfId="8" applyFont="1" applyFill="1" applyBorder="1" applyAlignment="1">
      <alignment horizontal="center" vertical="center" wrapText="1"/>
    </xf>
    <xf numFmtId="170" fontId="21" fillId="0" borderId="74" xfId="8" applyFont="1" applyFill="1" applyBorder="1" applyAlignment="1">
      <alignment horizontal="center" vertical="center" wrapText="1"/>
    </xf>
    <xf numFmtId="170" fontId="21" fillId="0" borderId="73" xfId="8" applyFont="1" applyFill="1" applyBorder="1" applyAlignment="1">
      <alignment horizontal="center" vertical="center" wrapText="1"/>
    </xf>
    <xf numFmtId="170" fontId="21" fillId="0" borderId="80" xfId="8" applyFont="1" applyFill="1" applyBorder="1" applyAlignment="1">
      <alignment horizontal="center" vertical="center"/>
    </xf>
    <xf numFmtId="170" fontId="21" fillId="0" borderId="72" xfId="8" applyFont="1" applyFill="1" applyBorder="1" applyAlignment="1">
      <alignment horizontal="center" vertical="center"/>
    </xf>
    <xf numFmtId="0" fontId="21" fillId="0" borderId="56" xfId="7" applyFont="1" applyBorder="1" applyAlignment="1">
      <alignment horizontal="right" vertical="center" wrapText="1"/>
    </xf>
    <xf numFmtId="0" fontId="21" fillId="0" borderId="57" xfId="7" applyFont="1" applyBorder="1" applyAlignment="1">
      <alignment horizontal="right" vertical="center" wrapText="1"/>
    </xf>
    <xf numFmtId="0" fontId="21" fillId="0" borderId="50" xfId="7" applyFont="1" applyBorder="1" applyAlignment="1">
      <alignment horizontal="right" vertical="center" wrapText="1"/>
    </xf>
    <xf numFmtId="170" fontId="18" fillId="0" borderId="15" xfId="8" applyFont="1" applyFill="1" applyBorder="1" applyAlignment="1">
      <alignment horizontal="center" vertical="center" wrapText="1"/>
    </xf>
    <xf numFmtId="0" fontId="23" fillId="0" borderId="15" xfId="7" applyFont="1" applyBorder="1" applyAlignment="1">
      <alignment horizontal="center" vertical="center"/>
    </xf>
  </cellXfs>
  <cellStyles count="54">
    <cellStyle name="20% - Ênfase1" xfId="29" builtinId="30" customBuiltin="1"/>
    <cellStyle name="20% - Ênfase2" xfId="33" builtinId="34" customBuiltin="1"/>
    <cellStyle name="20% - Ênfase3" xfId="37" builtinId="38" customBuiltin="1"/>
    <cellStyle name="20% - Ênfase4" xfId="41" builtinId="42" customBuiltin="1"/>
    <cellStyle name="20% - Ênfase5" xfId="45" builtinId="46" customBuiltin="1"/>
    <cellStyle name="20% - Ênfase6" xfId="49" builtinId="50" customBuiltin="1"/>
    <cellStyle name="40% - Ênfase1" xfId="30" builtinId="31" customBuiltin="1"/>
    <cellStyle name="40% - Ênfase2" xfId="34" builtinId="35" customBuiltin="1"/>
    <cellStyle name="40% - Ênfase3" xfId="38" builtinId="39" customBuiltin="1"/>
    <cellStyle name="40% - Ênfase4" xfId="42" builtinId="43" customBuiltin="1"/>
    <cellStyle name="40% - Ênfase5" xfId="46" builtinId="47" customBuiltin="1"/>
    <cellStyle name="40% - Ênfase6" xfId="50" builtinId="51" customBuiltin="1"/>
    <cellStyle name="60% - Ênfase1" xfId="31" builtinId="32" customBuiltin="1"/>
    <cellStyle name="60% - Ênfase2" xfId="35" builtinId="36" customBuiltin="1"/>
    <cellStyle name="60% - Ênfase3" xfId="39" builtinId="40" customBuiltin="1"/>
    <cellStyle name="60% - Ênfase4" xfId="43" builtinId="44" customBuiltin="1"/>
    <cellStyle name="60% - Ênfase5" xfId="47" builtinId="48" customBuiltin="1"/>
    <cellStyle name="60% - Ênfase6" xfId="51" builtinId="52" customBuiltin="1"/>
    <cellStyle name="Bom" xfId="16" builtinId="26" customBuiltin="1"/>
    <cellStyle name="Cálculo" xfId="21" builtinId="22" customBuiltin="1"/>
    <cellStyle name="Célula de Verificação" xfId="23" builtinId="23" customBuiltin="1"/>
    <cellStyle name="Célula Vinculada" xfId="22" builtinId="24" customBuiltin="1"/>
    <cellStyle name="Ênfase1" xfId="28" builtinId="29" customBuiltin="1"/>
    <cellStyle name="Ênfase2" xfId="32" builtinId="33" customBuiltin="1"/>
    <cellStyle name="Ênfase3" xfId="36" builtinId="37" customBuiltin="1"/>
    <cellStyle name="Ênfase4" xfId="40" builtinId="41" customBuiltin="1"/>
    <cellStyle name="Ênfase5" xfId="44" builtinId="45" customBuiltin="1"/>
    <cellStyle name="Ênfase6" xfId="48" builtinId="49" customBuiltin="1"/>
    <cellStyle name="Entrada" xfId="19" builtinId="20" customBuiltin="1"/>
    <cellStyle name="Neutro" xfId="18" builtinId="28" customBuiltin="1"/>
    <cellStyle name="Normal" xfId="0" builtinId="0"/>
    <cellStyle name="Normal 10" xfId="52" xr:uid="{00000000-0005-0000-0000-000024000000}"/>
    <cellStyle name="Normal 2" xfId="1" xr:uid="{00000000-0005-0000-0000-000025000000}"/>
    <cellStyle name="Normal 2 2" xfId="7" xr:uid="{00000000-0005-0000-0000-000026000000}"/>
    <cellStyle name="Normal 3" xfId="4" xr:uid="{00000000-0005-0000-0000-000027000000}"/>
    <cellStyle name="Nota" xfId="25" builtinId="10" customBuiltin="1"/>
    <cellStyle name="Porcentagem" xfId="10" builtinId="5"/>
    <cellStyle name="Porcentagem 2" xfId="3" xr:uid="{00000000-0005-0000-0000-00002A000000}"/>
    <cellStyle name="Porcentagem 3" xfId="6" xr:uid="{00000000-0005-0000-0000-00002B000000}"/>
    <cellStyle name="Ruim" xfId="17" builtinId="27" customBuiltin="1"/>
    <cellStyle name="Saída" xfId="20" builtinId="21" customBuiltin="1"/>
    <cellStyle name="Separador de milhares 2" xfId="8" xr:uid="{00000000-0005-0000-0000-00002D000000}"/>
    <cellStyle name="Texto de Aviso" xfId="24" builtinId="11" customBuiltin="1"/>
    <cellStyle name="Texto Explicativo" xfId="26" builtinId="53" customBuiltin="1"/>
    <cellStyle name="Título" xfId="11" builtinId="15" customBuiltin="1"/>
    <cellStyle name="Título 1" xfId="12" builtinId="16" customBuiltin="1"/>
    <cellStyle name="Título 2" xfId="13" builtinId="17" customBuiltin="1"/>
    <cellStyle name="Título 3" xfId="14" builtinId="18" customBuiltin="1"/>
    <cellStyle name="Título 4" xfId="15" builtinId="19" customBuiltin="1"/>
    <cellStyle name="Total" xfId="27" builtinId="25" customBuiltin="1"/>
    <cellStyle name="Vírgula" xfId="9" builtinId="3"/>
    <cellStyle name="Vírgula 2" xfId="2" xr:uid="{00000000-0005-0000-0000-000034000000}"/>
    <cellStyle name="Vírgula 2 2" xfId="53" xr:uid="{00000000-0005-0000-0000-000035000000}"/>
    <cellStyle name="Vírgula 3" xfId="5" xr:uid="{00000000-0005-0000-0000-00003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275167</xdr:colOff>
      <xdr:row>0</xdr:row>
      <xdr:rowOff>137583</xdr:rowOff>
    </xdr:from>
    <xdr:to>
      <xdr:col>15</xdr:col>
      <xdr:colOff>780173</xdr:colOff>
      <xdr:row>5</xdr:row>
      <xdr:rowOff>2822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3334" y="137583"/>
          <a:ext cx="138342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42572</xdr:colOff>
      <xdr:row>0</xdr:row>
      <xdr:rowOff>387609</xdr:rowOff>
    </xdr:from>
    <xdr:to>
      <xdr:col>1</xdr:col>
      <xdr:colOff>544287</xdr:colOff>
      <xdr:row>0</xdr:row>
      <xdr:rowOff>915243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2" y="387609"/>
          <a:ext cx="1114036" cy="527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61735</xdr:colOff>
      <xdr:row>0</xdr:row>
      <xdr:rowOff>66461</xdr:rowOff>
    </xdr:from>
    <xdr:to>
      <xdr:col>1</xdr:col>
      <xdr:colOff>65704</xdr:colOff>
      <xdr:row>2</xdr:row>
      <xdr:rowOff>220132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730250" cy="7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61735</xdr:colOff>
      <xdr:row>0</xdr:row>
      <xdr:rowOff>66461</xdr:rowOff>
    </xdr:from>
    <xdr:to>
      <xdr:col>1</xdr:col>
      <xdr:colOff>341929</xdr:colOff>
      <xdr:row>2</xdr:row>
      <xdr:rowOff>315382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1008576" cy="84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184705</xdr:colOff>
      <xdr:row>0</xdr:row>
      <xdr:rowOff>33617</xdr:rowOff>
    </xdr:from>
    <xdr:to>
      <xdr:col>5</xdr:col>
      <xdr:colOff>1004171</xdr:colOff>
      <xdr:row>2</xdr:row>
      <xdr:rowOff>294039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7065117" y="33617"/>
          <a:ext cx="819466" cy="85433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61735</xdr:colOff>
      <xdr:row>0</xdr:row>
      <xdr:rowOff>66461</xdr:rowOff>
    </xdr:from>
    <xdr:to>
      <xdr:col>1</xdr:col>
      <xdr:colOff>65704</xdr:colOff>
      <xdr:row>2</xdr:row>
      <xdr:rowOff>220132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690BF6A-D1D5-4057-8159-1DBE491E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727869" cy="744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61735</xdr:colOff>
      <xdr:row>0</xdr:row>
      <xdr:rowOff>66461</xdr:rowOff>
    </xdr:from>
    <xdr:to>
      <xdr:col>1</xdr:col>
      <xdr:colOff>341929</xdr:colOff>
      <xdr:row>2</xdr:row>
      <xdr:rowOff>315382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23708DC-8370-4E92-B67A-437C8DD7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1004094" cy="839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184705</xdr:colOff>
      <xdr:row>0</xdr:row>
      <xdr:rowOff>33617</xdr:rowOff>
    </xdr:from>
    <xdr:to>
      <xdr:col>5</xdr:col>
      <xdr:colOff>1004171</xdr:colOff>
      <xdr:row>2</xdr:row>
      <xdr:rowOff>294039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6A01BC5-F7CA-41B0-91F1-65E0BC13B3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7061755" y="33617"/>
          <a:ext cx="819466" cy="8509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61735</xdr:colOff>
      <xdr:row>0</xdr:row>
      <xdr:rowOff>66461</xdr:rowOff>
    </xdr:from>
    <xdr:to>
      <xdr:col>1</xdr:col>
      <xdr:colOff>65704</xdr:colOff>
      <xdr:row>2</xdr:row>
      <xdr:rowOff>220132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587EBDD-2BB0-47D7-A966-B0ED89E7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727869" cy="744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61735</xdr:colOff>
      <xdr:row>0</xdr:row>
      <xdr:rowOff>66461</xdr:rowOff>
    </xdr:from>
    <xdr:to>
      <xdr:col>1</xdr:col>
      <xdr:colOff>341929</xdr:colOff>
      <xdr:row>2</xdr:row>
      <xdr:rowOff>315382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283DD9C-2339-48C0-85EB-C4669339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5" y="66461"/>
          <a:ext cx="1004094" cy="839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349251</xdr:colOff>
      <xdr:row>1</xdr:row>
      <xdr:rowOff>25401</xdr:rowOff>
    </xdr:from>
    <xdr:to>
      <xdr:col>8</xdr:col>
      <xdr:colOff>463550</xdr:colOff>
      <xdr:row>2</xdr:row>
      <xdr:rowOff>324807</xdr:rowOff>
    </xdr:to>
    <xdr:pic>
      <xdr:nvPicPr>
        <xdr:cNvPr id="3" name="Imagem 2" descr="cinza_Marc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1" y="241301"/>
          <a:ext cx="761999" cy="496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152400</xdr:rowOff>
    </xdr:from>
    <xdr:to>
      <xdr:col>0</xdr:col>
      <xdr:colOff>661845</xdr:colOff>
      <xdr:row>2</xdr:row>
      <xdr:rowOff>368300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60469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698853</xdr:colOff>
      <xdr:row>0</xdr:row>
      <xdr:rowOff>177800</xdr:rowOff>
    </xdr:from>
    <xdr:to>
      <xdr:col>1</xdr:col>
      <xdr:colOff>222250</xdr:colOff>
      <xdr:row>2</xdr:row>
      <xdr:rowOff>323850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rcRect l="44802" t="35326" r="44714" b="40426"/>
        <a:stretch/>
      </xdr:blipFill>
      <xdr:spPr bwMode="auto">
        <a:xfrm>
          <a:off x="698853" y="177800"/>
          <a:ext cx="513997" cy="55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349251</xdr:colOff>
      <xdr:row>1</xdr:row>
      <xdr:rowOff>25401</xdr:rowOff>
    </xdr:from>
    <xdr:to>
      <xdr:col>8</xdr:col>
      <xdr:colOff>463550</xdr:colOff>
      <xdr:row>2</xdr:row>
      <xdr:rowOff>273050</xdr:rowOff>
    </xdr:to>
    <xdr:pic>
      <xdr:nvPicPr>
        <xdr:cNvPr id="2" name="Imagem 1" descr="cinza_Marca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9451" y="241301"/>
          <a:ext cx="761999" cy="444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152400</xdr:rowOff>
    </xdr:from>
    <xdr:to>
      <xdr:col>0</xdr:col>
      <xdr:colOff>661845</xdr:colOff>
      <xdr:row>2</xdr:row>
      <xdr:rowOff>368300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60469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698853</xdr:colOff>
      <xdr:row>0</xdr:row>
      <xdr:rowOff>177800</xdr:rowOff>
    </xdr:from>
    <xdr:to>
      <xdr:col>1</xdr:col>
      <xdr:colOff>222250</xdr:colOff>
      <xdr:row>2</xdr:row>
      <xdr:rowOff>323850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rcRect l="44802" t="35326" r="44714" b="40426"/>
        <a:stretch/>
      </xdr:blipFill>
      <xdr:spPr bwMode="auto">
        <a:xfrm>
          <a:off x="698853" y="177800"/>
          <a:ext cx="513997" cy="558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100693</xdr:colOff>
      <xdr:row>0</xdr:row>
      <xdr:rowOff>195943</xdr:rowOff>
    </xdr:from>
    <xdr:to>
      <xdr:col>0</xdr:col>
      <xdr:colOff>705388</xdr:colOff>
      <xdr:row>2</xdr:row>
      <xdr:rowOff>390071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195943"/>
          <a:ext cx="604695" cy="629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83809</xdr:colOff>
      <xdr:row>1</xdr:row>
      <xdr:rowOff>109764</xdr:rowOff>
    </xdr:from>
    <xdr:to>
      <xdr:col>8</xdr:col>
      <xdr:colOff>562427</xdr:colOff>
      <xdr:row>2</xdr:row>
      <xdr:rowOff>451756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9622416" y="313871"/>
          <a:ext cx="478618" cy="57331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100693</xdr:colOff>
      <xdr:row>0</xdr:row>
      <xdr:rowOff>195943</xdr:rowOff>
    </xdr:from>
    <xdr:to>
      <xdr:col>0</xdr:col>
      <xdr:colOff>705388</xdr:colOff>
      <xdr:row>2</xdr:row>
      <xdr:rowOff>390071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93" y="195943"/>
          <a:ext cx="604695" cy="628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83809</xdr:colOff>
      <xdr:row>1</xdr:row>
      <xdr:rowOff>109764</xdr:rowOff>
    </xdr:from>
    <xdr:to>
      <xdr:col>8</xdr:col>
      <xdr:colOff>562427</xdr:colOff>
      <xdr:row>2</xdr:row>
      <xdr:rowOff>451756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9898369" y="323124"/>
          <a:ext cx="478618" cy="5629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LHA%20TOTAL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bdi-DEO"/>
      <sheetName val="CUSTO INDIRETO"/>
      <sheetName val="CRONOGRAMA"/>
      <sheetName val="EMERGÊNCIA"/>
      <sheetName val="RESUMO - MO37588"/>
      <sheetName val="Planilha de Custo"/>
      <sheetName val="Replan"/>
      <sheetName val="Resumo"/>
    </sheetNames>
    <sheetDataSet>
      <sheetData sheetId="0" refreshError="1">
        <row r="19">
          <cell r="C19" t="str">
            <v>TOTAL 02</v>
          </cell>
        </row>
        <row r="37">
          <cell r="H37">
            <v>0</v>
          </cell>
        </row>
        <row r="49">
          <cell r="C49" t="str">
            <v>TOTAL 07</v>
          </cell>
        </row>
        <row r="67">
          <cell r="H67">
            <v>0</v>
          </cell>
        </row>
        <row r="79">
          <cell r="C79" t="str">
            <v>TOTAL 12</v>
          </cell>
        </row>
        <row r="97">
          <cell r="H97">
            <v>0</v>
          </cell>
        </row>
        <row r="109">
          <cell r="C109" t="str">
            <v>TOTAL 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view="pageBreakPreview" topLeftCell="F1" zoomScale="90" zoomScaleSheetLayoutView="90" workbookViewId="0">
      <selection sqref="A1:P6"/>
    </sheetView>
  </sheetViews>
  <sheetFormatPr defaultColWidth="9.28515625" defaultRowHeight="12.75" x14ac:dyDescent="0.2"/>
  <cols>
    <col min="1" max="1" width="9.28515625" style="44" customWidth="1"/>
    <col min="2" max="2" width="46.5703125" style="44" customWidth="1"/>
    <col min="3" max="3" width="16.7109375" style="44" customWidth="1"/>
    <col min="4" max="4" width="9.28515625" style="44" customWidth="1"/>
    <col min="5" max="5" width="11.28515625" style="44" customWidth="1"/>
    <col min="6" max="16" width="13.28515625" style="44" customWidth="1"/>
    <col min="17" max="17" width="13.28515625" style="44" hidden="1" customWidth="1"/>
    <col min="18" max="19" width="0" style="44" hidden="1" customWidth="1"/>
    <col min="20" max="16384" width="9.28515625" style="44"/>
  </cols>
  <sheetData>
    <row r="1" spans="1:18" ht="13.5" thickBot="1" x14ac:dyDescent="0.25">
      <c r="A1" s="498"/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500"/>
    </row>
    <row r="2" spans="1:18" ht="13.5" thickBot="1" x14ac:dyDescent="0.25">
      <c r="A2" s="501"/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3"/>
    </row>
    <row r="3" spans="1:18" ht="13.5" thickBot="1" x14ac:dyDescent="0.25">
      <c r="A3" s="501"/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3"/>
    </row>
    <row r="4" spans="1:18" ht="13.5" thickBot="1" x14ac:dyDescent="0.25">
      <c r="A4" s="501"/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3"/>
    </row>
    <row r="5" spans="1:18" ht="13.5" thickBot="1" x14ac:dyDescent="0.25">
      <c r="A5" s="501"/>
      <c r="B5" s="502"/>
      <c r="C5" s="502"/>
      <c r="D5" s="502"/>
      <c r="E5" s="502"/>
      <c r="F5" s="502"/>
      <c r="G5" s="502"/>
      <c r="H5" s="502"/>
      <c r="I5" s="502"/>
      <c r="J5" s="502"/>
      <c r="K5" s="502"/>
      <c r="L5" s="502"/>
      <c r="M5" s="502"/>
      <c r="N5" s="502"/>
      <c r="O5" s="502"/>
      <c r="P5" s="503"/>
    </row>
    <row r="6" spans="1:18" ht="6.75" customHeight="1" x14ac:dyDescent="0.2">
      <c r="A6" s="501"/>
      <c r="B6" s="502"/>
      <c r="C6" s="502"/>
      <c r="D6" s="502"/>
      <c r="E6" s="502"/>
      <c r="F6" s="502"/>
      <c r="G6" s="502"/>
      <c r="H6" s="502"/>
      <c r="I6" s="502"/>
      <c r="J6" s="502"/>
      <c r="K6" s="502"/>
      <c r="L6" s="502"/>
      <c r="M6" s="502"/>
      <c r="N6" s="502"/>
      <c r="O6" s="502"/>
      <c r="P6" s="503"/>
    </row>
    <row r="7" spans="1:18" ht="23.25" x14ac:dyDescent="0.35">
      <c r="A7" s="504" t="s">
        <v>73</v>
      </c>
      <c r="B7" s="505"/>
      <c r="C7" s="505"/>
      <c r="D7" s="505"/>
      <c r="E7" s="505"/>
      <c r="F7" s="505"/>
      <c r="G7" s="505"/>
      <c r="H7" s="505"/>
      <c r="I7" s="505"/>
      <c r="J7" s="505"/>
      <c r="K7" s="505"/>
      <c r="L7" s="505"/>
      <c r="M7" s="505"/>
      <c r="N7" s="505"/>
      <c r="O7" s="505"/>
      <c r="P7" s="506"/>
      <c r="Q7" s="44">
        <f>100/16</f>
        <v>6.25</v>
      </c>
    </row>
    <row r="8" spans="1:18" ht="23.25" customHeight="1" x14ac:dyDescent="0.2">
      <c r="A8" s="507" t="s">
        <v>99</v>
      </c>
      <c r="B8" s="508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08"/>
      <c r="O8" s="508"/>
      <c r="P8" s="509"/>
    </row>
    <row r="9" spans="1:18" ht="15" customHeight="1" x14ac:dyDescent="0.2">
      <c r="A9" s="510" t="s">
        <v>74</v>
      </c>
      <c r="B9" s="512" t="s">
        <v>75</v>
      </c>
      <c r="C9" s="512" t="s">
        <v>76</v>
      </c>
      <c r="D9" s="512"/>
      <c r="E9" s="514" t="s">
        <v>77</v>
      </c>
      <c r="F9" s="514"/>
      <c r="G9" s="514"/>
      <c r="H9" s="514"/>
      <c r="I9" s="514"/>
      <c r="J9" s="514"/>
      <c r="K9" s="514"/>
      <c r="L9" s="514"/>
      <c r="M9" s="514"/>
      <c r="N9" s="514"/>
      <c r="O9" s="514"/>
      <c r="P9" s="515"/>
    </row>
    <row r="10" spans="1:18" ht="15" x14ac:dyDescent="0.2">
      <c r="A10" s="511"/>
      <c r="B10" s="513"/>
      <c r="C10" s="45" t="s">
        <v>78</v>
      </c>
      <c r="D10" s="46" t="s">
        <v>79</v>
      </c>
      <c r="E10" s="47" t="s">
        <v>80</v>
      </c>
      <c r="F10" s="47" t="s">
        <v>81</v>
      </c>
      <c r="G10" s="47" t="s">
        <v>82</v>
      </c>
      <c r="H10" s="47" t="s">
        <v>83</v>
      </c>
      <c r="I10" s="47" t="s">
        <v>84</v>
      </c>
      <c r="J10" s="47" t="s">
        <v>85</v>
      </c>
      <c r="K10" s="48" t="s">
        <v>86</v>
      </c>
      <c r="L10" s="48" t="s">
        <v>87</v>
      </c>
      <c r="M10" s="48" t="s">
        <v>88</v>
      </c>
      <c r="N10" s="48" t="s">
        <v>89</v>
      </c>
      <c r="O10" s="48" t="s">
        <v>90</v>
      </c>
      <c r="P10" s="96" t="s">
        <v>91</v>
      </c>
    </row>
    <row r="11" spans="1:18" ht="15" x14ac:dyDescent="0.2">
      <c r="A11" s="49"/>
      <c r="B11" s="50"/>
      <c r="C11" s="51"/>
      <c r="D11" s="52"/>
      <c r="E11" s="53"/>
      <c r="F11" s="53"/>
      <c r="G11" s="53"/>
      <c r="H11" s="53"/>
      <c r="I11" s="54"/>
      <c r="J11" s="53"/>
      <c r="K11" s="55"/>
      <c r="L11" s="53"/>
      <c r="M11" s="53"/>
      <c r="N11" s="53"/>
      <c r="O11" s="53"/>
      <c r="P11" s="97"/>
    </row>
    <row r="12" spans="1:18" ht="33" customHeight="1" thickBot="1" x14ac:dyDescent="0.25">
      <c r="A12" s="56">
        <v>1</v>
      </c>
      <c r="B12" s="57" t="s">
        <v>11</v>
      </c>
      <c r="C12" s="58">
        <f>Contrato!H7+Contrato!H8+Contrato!H9+Contrato!H10+Contrato!H11</f>
        <v>24870.434000000001</v>
      </c>
      <c r="D12" s="59">
        <f>C12/C$21</f>
        <v>0.27711196300103963</v>
      </c>
      <c r="E12" s="60">
        <f>ROUND(E13*$C$12,2)</f>
        <v>22383.39</v>
      </c>
      <c r="F12" s="61">
        <f>ROUND(F13*$C$12,2)</f>
        <v>1243.52</v>
      </c>
      <c r="G12" s="61">
        <f>ROUND(G13*$C$12,2)-0.01</f>
        <v>1243.51</v>
      </c>
      <c r="H12" s="61">
        <f>ROUND(H13*$C$12,2)+0.01</f>
        <v>0.01</v>
      </c>
      <c r="I12" s="61">
        <f t="shared" ref="I12:P12" si="0">ROUND(I13*$C$12,2)</f>
        <v>0</v>
      </c>
      <c r="J12" s="61">
        <f t="shared" si="0"/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0</v>
      </c>
      <c r="O12" s="61">
        <f t="shared" si="0"/>
        <v>0</v>
      </c>
      <c r="P12" s="98">
        <f t="shared" si="0"/>
        <v>0</v>
      </c>
      <c r="Q12" s="95">
        <f t="shared" ref="Q12:Q19" si="1">SUM(E12:P12)</f>
        <v>24870.429999999997</v>
      </c>
      <c r="R12" s="62">
        <f>Q12-C12</f>
        <v>-4.0000000044528861E-3</v>
      </c>
    </row>
    <row r="13" spans="1:18" ht="15.75" customHeight="1" x14ac:dyDescent="0.2">
      <c r="A13" s="56"/>
      <c r="B13" s="57"/>
      <c r="C13" s="63"/>
      <c r="D13" s="59"/>
      <c r="E13" s="64">
        <v>0.9</v>
      </c>
      <c r="F13" s="64">
        <v>0.05</v>
      </c>
      <c r="G13" s="64">
        <v>0.05</v>
      </c>
      <c r="H13" s="64"/>
      <c r="I13" s="64"/>
      <c r="J13" s="64"/>
      <c r="K13" s="64"/>
      <c r="L13" s="64"/>
      <c r="M13" s="64"/>
      <c r="N13" s="64"/>
      <c r="O13" s="64"/>
      <c r="P13" s="99"/>
      <c r="Q13" s="95">
        <f t="shared" si="1"/>
        <v>1</v>
      </c>
      <c r="R13" s="62">
        <f t="shared" ref="R13:R19" si="2">Q13-C13</f>
        <v>1</v>
      </c>
    </row>
    <row r="14" spans="1:18" ht="17.25" customHeight="1" thickBot="1" x14ac:dyDescent="0.25">
      <c r="A14" s="56">
        <v>2</v>
      </c>
      <c r="B14" s="57" t="s">
        <v>31</v>
      </c>
      <c r="C14" s="63">
        <f>SUM(Contrato!H13:H22)</f>
        <v>45012.75</v>
      </c>
      <c r="D14" s="59">
        <f>C14/C$21</f>
        <v>0.50154217303063742</v>
      </c>
      <c r="E14" s="60">
        <f t="shared" ref="E14:P14" si="3">ROUND(E15*$C$14,2)</f>
        <v>2250.64</v>
      </c>
      <c r="F14" s="61">
        <f t="shared" si="3"/>
        <v>2250.64</v>
      </c>
      <c r="G14" s="61">
        <f t="shared" si="3"/>
        <v>4501.28</v>
      </c>
      <c r="H14" s="61">
        <f t="shared" si="3"/>
        <v>4501.28</v>
      </c>
      <c r="I14" s="61">
        <f t="shared" si="3"/>
        <v>6751.91</v>
      </c>
      <c r="J14" s="61">
        <f t="shared" si="3"/>
        <v>9002.5499999999993</v>
      </c>
      <c r="K14" s="61">
        <f t="shared" si="3"/>
        <v>9002.5499999999993</v>
      </c>
      <c r="L14" s="61">
        <f t="shared" si="3"/>
        <v>4501.28</v>
      </c>
      <c r="M14" s="61">
        <f>ROUND(M15*$C$14,2)-0.02</f>
        <v>2250.62</v>
      </c>
      <c r="N14" s="61">
        <f t="shared" si="3"/>
        <v>0</v>
      </c>
      <c r="O14" s="61">
        <f t="shared" si="3"/>
        <v>0</v>
      </c>
      <c r="P14" s="98">
        <f t="shared" si="3"/>
        <v>0</v>
      </c>
      <c r="Q14" s="95">
        <f t="shared" si="1"/>
        <v>45012.75</v>
      </c>
      <c r="R14" s="62">
        <f>Q14-C14</f>
        <v>0</v>
      </c>
    </row>
    <row r="15" spans="1:18" ht="15.75" customHeight="1" x14ac:dyDescent="0.2">
      <c r="A15" s="56"/>
      <c r="B15" s="57"/>
      <c r="C15" s="63"/>
      <c r="D15" s="59"/>
      <c r="E15" s="64">
        <v>0.05</v>
      </c>
      <c r="F15" s="64">
        <v>0.05</v>
      </c>
      <c r="G15" s="64">
        <v>0.1</v>
      </c>
      <c r="H15" s="64">
        <v>0.1</v>
      </c>
      <c r="I15" s="64">
        <v>0.15</v>
      </c>
      <c r="J15" s="64">
        <v>0.2</v>
      </c>
      <c r="K15" s="64">
        <v>0.2</v>
      </c>
      <c r="L15" s="64">
        <v>0.1</v>
      </c>
      <c r="M15" s="64">
        <v>0.05</v>
      </c>
      <c r="N15" s="64"/>
      <c r="O15" s="64"/>
      <c r="P15" s="99"/>
      <c r="Q15" s="95">
        <f t="shared" si="1"/>
        <v>1</v>
      </c>
      <c r="R15" s="62">
        <f t="shared" si="2"/>
        <v>1</v>
      </c>
    </row>
    <row r="16" spans="1:18" ht="33" customHeight="1" thickBot="1" x14ac:dyDescent="0.25">
      <c r="A16" s="56">
        <v>3</v>
      </c>
      <c r="B16" s="57" t="s">
        <v>92</v>
      </c>
      <c r="C16" s="63">
        <f>Contrato!H24</f>
        <v>3547.5000000000005</v>
      </c>
      <c r="D16" s="59">
        <f>C16/C$21</f>
        <v>3.9527041978687956E-2</v>
      </c>
      <c r="E16" s="60">
        <f t="shared" ref="E16:P16" si="4">ROUND(E17*$C$16,2)</f>
        <v>0</v>
      </c>
      <c r="F16" s="61">
        <f t="shared" si="4"/>
        <v>0</v>
      </c>
      <c r="G16" s="61">
        <f t="shared" si="4"/>
        <v>0</v>
      </c>
      <c r="H16" s="61">
        <f>ROUND(H17*$C$16,2)</f>
        <v>0</v>
      </c>
      <c r="I16" s="61">
        <f t="shared" si="4"/>
        <v>0</v>
      </c>
      <c r="J16" s="61">
        <f t="shared" si="4"/>
        <v>0</v>
      </c>
      <c r="K16" s="61">
        <f t="shared" si="4"/>
        <v>0</v>
      </c>
      <c r="L16" s="61">
        <f t="shared" si="4"/>
        <v>0</v>
      </c>
      <c r="M16" s="61">
        <f t="shared" si="4"/>
        <v>0</v>
      </c>
      <c r="N16" s="61">
        <f t="shared" si="4"/>
        <v>1773.75</v>
      </c>
      <c r="O16" s="61">
        <f t="shared" si="4"/>
        <v>1419</v>
      </c>
      <c r="P16" s="98">
        <f t="shared" si="4"/>
        <v>354.75</v>
      </c>
      <c r="Q16" s="95">
        <f t="shared" si="1"/>
        <v>3547.5</v>
      </c>
      <c r="R16" s="62">
        <f t="shared" si="2"/>
        <v>0</v>
      </c>
    </row>
    <row r="17" spans="1:18" ht="15" x14ac:dyDescent="0.2">
      <c r="A17" s="56"/>
      <c r="B17" s="57"/>
      <c r="C17" s="63"/>
      <c r="D17" s="59"/>
      <c r="E17" s="65"/>
      <c r="F17" s="65"/>
      <c r="G17" s="65"/>
      <c r="H17" s="65"/>
      <c r="I17" s="65"/>
      <c r="J17" s="65"/>
      <c r="K17" s="65"/>
      <c r="L17" s="65"/>
      <c r="M17" s="65"/>
      <c r="N17" s="65">
        <v>0.5</v>
      </c>
      <c r="O17" s="65">
        <v>0.4</v>
      </c>
      <c r="P17" s="100">
        <v>0.1</v>
      </c>
      <c r="Q17" s="95">
        <f t="shared" si="1"/>
        <v>1</v>
      </c>
      <c r="R17" s="62">
        <f t="shared" si="2"/>
        <v>1</v>
      </c>
    </row>
    <row r="18" spans="1:18" ht="33" customHeight="1" thickBot="1" x14ac:dyDescent="0.25">
      <c r="A18" s="56">
        <v>5</v>
      </c>
      <c r="B18" s="57" t="s">
        <v>93</v>
      </c>
      <c r="C18" s="63">
        <f>Contrato!H26</f>
        <v>16318</v>
      </c>
      <c r="D18" s="59">
        <f>C18/C$21</f>
        <v>0.18181882198963495</v>
      </c>
      <c r="E18" s="60">
        <f t="shared" ref="E18:P18" si="5">ROUND(E19*$C$18,2)</f>
        <v>1360.92</v>
      </c>
      <c r="F18" s="61">
        <f t="shared" si="5"/>
        <v>1360.92</v>
      </c>
      <c r="G18" s="61">
        <f t="shared" si="5"/>
        <v>1360.92</v>
      </c>
      <c r="H18" s="61">
        <f t="shared" si="5"/>
        <v>1360.92</v>
      </c>
      <c r="I18" s="61">
        <f t="shared" si="5"/>
        <v>1359.29</v>
      </c>
      <c r="J18" s="61">
        <f t="shared" si="5"/>
        <v>1359.29</v>
      </c>
      <c r="K18" s="61">
        <f t="shared" si="5"/>
        <v>1359.29</v>
      </c>
      <c r="L18" s="61">
        <f t="shared" si="5"/>
        <v>1359.29</v>
      </c>
      <c r="M18" s="61">
        <f t="shared" si="5"/>
        <v>1359.29</v>
      </c>
      <c r="N18" s="61">
        <f t="shared" si="5"/>
        <v>1359.29</v>
      </c>
      <c r="O18" s="61">
        <f t="shared" si="5"/>
        <v>1359.29</v>
      </c>
      <c r="P18" s="98">
        <f t="shared" si="5"/>
        <v>1359.29</v>
      </c>
      <c r="Q18" s="95">
        <f t="shared" si="1"/>
        <v>16318.000000000004</v>
      </c>
      <c r="R18" s="62">
        <f>Q18-C18</f>
        <v>0</v>
      </c>
    </row>
    <row r="19" spans="1:18" ht="15" x14ac:dyDescent="0.2">
      <c r="A19" s="56"/>
      <c r="B19" s="57"/>
      <c r="C19" s="63"/>
      <c r="D19" s="59"/>
      <c r="E19" s="65">
        <v>8.3400000000000002E-2</v>
      </c>
      <c r="F19" s="65">
        <v>8.3400000000000002E-2</v>
      </c>
      <c r="G19" s="65">
        <v>8.3400000000000002E-2</v>
      </c>
      <c r="H19" s="65">
        <v>8.3400000000000002E-2</v>
      </c>
      <c r="I19" s="65">
        <v>8.3299999999999999E-2</v>
      </c>
      <c r="J19" s="65">
        <v>8.3299999999999999E-2</v>
      </c>
      <c r="K19" s="65">
        <v>8.3299999999999999E-2</v>
      </c>
      <c r="L19" s="65">
        <v>8.3299999999999999E-2</v>
      </c>
      <c r="M19" s="65">
        <v>8.3299999999999999E-2</v>
      </c>
      <c r="N19" s="65">
        <v>8.3299999999999999E-2</v>
      </c>
      <c r="O19" s="65">
        <v>8.3299999999999999E-2</v>
      </c>
      <c r="P19" s="100">
        <v>8.3299999999999999E-2</v>
      </c>
      <c r="Q19" s="95">
        <f t="shared" si="1"/>
        <v>1.0000000000000002</v>
      </c>
      <c r="R19" s="62">
        <f t="shared" si="2"/>
        <v>1.0000000000000002</v>
      </c>
    </row>
    <row r="20" spans="1:18" ht="14.25" x14ac:dyDescent="0.2">
      <c r="A20" s="49"/>
      <c r="B20" s="50"/>
      <c r="C20" s="63"/>
      <c r="D20" s="59"/>
      <c r="E20" s="66"/>
      <c r="F20" s="66"/>
      <c r="G20" s="66"/>
      <c r="H20" s="66"/>
      <c r="I20" s="67"/>
      <c r="J20" s="66"/>
      <c r="K20" s="68"/>
      <c r="L20" s="66"/>
      <c r="M20" s="66"/>
      <c r="N20" s="66"/>
      <c r="O20" s="66"/>
      <c r="P20" s="101"/>
    </row>
    <row r="21" spans="1:18" ht="15.75" customHeight="1" x14ac:dyDescent="0.2">
      <c r="A21" s="69"/>
      <c r="B21" s="70" t="s">
        <v>94</v>
      </c>
      <c r="C21" s="71">
        <f>SUM(C12:C19)</f>
        <v>89748.684000000008</v>
      </c>
      <c r="D21" s="72">
        <f>ROUND(SUM(D11:D19),2)</f>
        <v>1</v>
      </c>
      <c r="E21" s="72"/>
      <c r="F21" s="72"/>
      <c r="G21" s="72"/>
      <c r="H21" s="72"/>
      <c r="I21" s="73"/>
      <c r="J21" s="72"/>
      <c r="K21" s="74"/>
      <c r="L21" s="72"/>
      <c r="M21" s="72"/>
      <c r="N21" s="72"/>
      <c r="O21" s="72"/>
      <c r="P21" s="102"/>
    </row>
    <row r="22" spans="1:18" ht="14.25" x14ac:dyDescent="0.2">
      <c r="A22" s="75"/>
      <c r="B22" s="497" t="s">
        <v>95</v>
      </c>
      <c r="C22" s="497"/>
      <c r="D22" s="76" t="s">
        <v>78</v>
      </c>
      <c r="E22" s="77">
        <f t="shared" ref="E22:P22" si="6">E12+E14+E16+E18</f>
        <v>25994.949999999997</v>
      </c>
      <c r="F22" s="77">
        <f t="shared" si="6"/>
        <v>4855.08</v>
      </c>
      <c r="G22" s="77">
        <f t="shared" si="6"/>
        <v>7105.71</v>
      </c>
      <c r="H22" s="77">
        <f t="shared" si="6"/>
        <v>5862.21</v>
      </c>
      <c r="I22" s="77">
        <f t="shared" si="6"/>
        <v>8111.2</v>
      </c>
      <c r="J22" s="77">
        <f t="shared" si="6"/>
        <v>10361.84</v>
      </c>
      <c r="K22" s="77">
        <f t="shared" si="6"/>
        <v>10361.84</v>
      </c>
      <c r="L22" s="77">
        <f t="shared" si="6"/>
        <v>5860.57</v>
      </c>
      <c r="M22" s="77">
        <f t="shared" si="6"/>
        <v>3609.91</v>
      </c>
      <c r="N22" s="77">
        <f t="shared" si="6"/>
        <v>3133.04</v>
      </c>
      <c r="O22" s="77">
        <f t="shared" si="6"/>
        <v>2778.29</v>
      </c>
      <c r="P22" s="103">
        <f t="shared" si="6"/>
        <v>1714.04</v>
      </c>
      <c r="Q22" s="78"/>
    </row>
    <row r="23" spans="1:18" ht="14.25" x14ac:dyDescent="0.2">
      <c r="A23" s="75"/>
      <c r="B23" s="79"/>
      <c r="C23" s="80" t="s">
        <v>96</v>
      </c>
      <c r="D23" s="81" t="s">
        <v>79</v>
      </c>
      <c r="E23" s="82">
        <f t="shared" ref="E23:O23" si="7">E22/$C$21</f>
        <v>0.28964157290596032</v>
      </c>
      <c r="F23" s="82">
        <f t="shared" si="7"/>
        <v>5.4096392098629542E-2</v>
      </c>
      <c r="G23" s="82">
        <f t="shared" si="7"/>
        <v>7.9173417183476466E-2</v>
      </c>
      <c r="H23" s="82">
        <f t="shared" si="7"/>
        <v>6.5318060819699583E-2</v>
      </c>
      <c r="I23" s="82">
        <f t="shared" si="7"/>
        <v>9.0376812656105338E-2</v>
      </c>
      <c r="J23" s="82">
        <f t="shared" si="7"/>
        <v>0.11545394916319886</v>
      </c>
      <c r="K23" s="82">
        <f t="shared" si="7"/>
        <v>0.11545394916319886</v>
      </c>
      <c r="L23" s="82">
        <f t="shared" si="7"/>
        <v>6.5299787571258414E-2</v>
      </c>
      <c r="M23" s="82">
        <f t="shared" si="7"/>
        <v>4.0222428219671716E-2</v>
      </c>
      <c r="N23" s="82">
        <f t="shared" si="7"/>
        <v>3.4909035546415362E-2</v>
      </c>
      <c r="O23" s="82">
        <f t="shared" si="7"/>
        <v>3.0956331348546567E-2</v>
      </c>
      <c r="P23" s="104">
        <f>P22/$C$21</f>
        <v>1.909821875494018E-2</v>
      </c>
    </row>
    <row r="24" spans="1:18" ht="14.25" x14ac:dyDescent="0.2">
      <c r="A24" s="83"/>
      <c r="B24" s="84"/>
      <c r="C24" s="85" t="s">
        <v>97</v>
      </c>
      <c r="D24" s="86" t="s">
        <v>78</v>
      </c>
      <c r="E24" s="87">
        <f>E22</f>
        <v>25994.949999999997</v>
      </c>
      <c r="F24" s="87">
        <f t="shared" ref="F24:P24" si="8">E24+F22</f>
        <v>30850.03</v>
      </c>
      <c r="G24" s="87">
        <f t="shared" si="8"/>
        <v>37955.74</v>
      </c>
      <c r="H24" s="87">
        <f t="shared" si="8"/>
        <v>43817.95</v>
      </c>
      <c r="I24" s="87">
        <f t="shared" si="8"/>
        <v>51929.149999999994</v>
      </c>
      <c r="J24" s="87">
        <f t="shared" si="8"/>
        <v>62290.989999999991</v>
      </c>
      <c r="K24" s="87">
        <f t="shared" si="8"/>
        <v>72652.829999999987</v>
      </c>
      <c r="L24" s="87">
        <f t="shared" si="8"/>
        <v>78513.399999999994</v>
      </c>
      <c r="M24" s="87">
        <f t="shared" si="8"/>
        <v>82123.31</v>
      </c>
      <c r="N24" s="87">
        <f t="shared" si="8"/>
        <v>85256.349999999991</v>
      </c>
      <c r="O24" s="87">
        <f t="shared" si="8"/>
        <v>88034.639999999985</v>
      </c>
      <c r="P24" s="105">
        <f t="shared" si="8"/>
        <v>89748.679999999978</v>
      </c>
      <c r="Q24" s="88"/>
    </row>
    <row r="25" spans="1:18" ht="15" thickBot="1" x14ac:dyDescent="0.25">
      <c r="A25" s="89"/>
      <c r="B25" s="90"/>
      <c r="C25" s="91" t="s">
        <v>98</v>
      </c>
      <c r="D25" s="92" t="s">
        <v>79</v>
      </c>
      <c r="E25" s="93">
        <f t="shared" ref="E25:O25" si="9">E24/$C$21</f>
        <v>0.28964157290596032</v>
      </c>
      <c r="F25" s="93">
        <f t="shared" si="9"/>
        <v>0.34373796500458986</v>
      </c>
      <c r="G25" s="93">
        <f t="shared" si="9"/>
        <v>0.42291138218806634</v>
      </c>
      <c r="H25" s="93">
        <f t="shared" si="9"/>
        <v>0.48822944300776594</v>
      </c>
      <c r="I25" s="93">
        <f t="shared" si="9"/>
        <v>0.57860625566387125</v>
      </c>
      <c r="J25" s="93">
        <f t="shared" si="9"/>
        <v>0.69406020482707009</v>
      </c>
      <c r="K25" s="93">
        <f t="shared" si="9"/>
        <v>0.80951415399026883</v>
      </c>
      <c r="L25" s="93">
        <f t="shared" si="9"/>
        <v>0.87481394156152736</v>
      </c>
      <c r="M25" s="93">
        <f t="shared" si="9"/>
        <v>0.91503636978119918</v>
      </c>
      <c r="N25" s="93">
        <f t="shared" si="9"/>
        <v>0.9499454053276144</v>
      </c>
      <c r="O25" s="93">
        <f t="shared" si="9"/>
        <v>0.98090173667616087</v>
      </c>
      <c r="P25" s="106">
        <f>P24/$C$21</f>
        <v>0.99999995543110098</v>
      </c>
    </row>
    <row r="28" spans="1:18" x14ac:dyDescent="0.2">
      <c r="C28" s="94"/>
    </row>
  </sheetData>
  <sheetProtection selectLockedCells="1" selectUnlockedCells="1"/>
  <mergeCells count="8">
    <mergeCell ref="B22:C22"/>
    <mergeCell ref="A1:P6"/>
    <mergeCell ref="A7:P7"/>
    <mergeCell ref="A8:P8"/>
    <mergeCell ref="A9:A10"/>
    <mergeCell ref="B9:B10"/>
    <mergeCell ref="C9:D9"/>
    <mergeCell ref="E9:P9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57" firstPageNumber="0" orientation="landscape" r:id="rId1"/>
  <headerFooter alignWithMargins="0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view="pageBreakPreview" zoomScale="98" zoomScaleSheetLayoutView="98" workbookViewId="0">
      <selection sqref="A1:P6"/>
    </sheetView>
  </sheetViews>
  <sheetFormatPr defaultColWidth="9.140625" defaultRowHeight="15" x14ac:dyDescent="0.25"/>
  <cols>
    <col min="4" max="4" width="59.5703125" customWidth="1"/>
    <col min="7" max="7" width="10.7109375" customWidth="1"/>
    <col min="8" max="8" width="12.7109375" bestFit="1" customWidth="1"/>
    <col min="10" max="10" width="8.7109375" customWidth="1"/>
    <col min="11" max="11" width="9.42578125" customWidth="1"/>
    <col min="12" max="12" width="10" customWidth="1"/>
    <col min="13" max="13" width="12.7109375" bestFit="1" customWidth="1"/>
    <col min="17" max="19" width="0" hidden="1" customWidth="1"/>
  </cols>
  <sheetData>
    <row r="1" spans="1:16" ht="105.75" customHeight="1" x14ac:dyDescent="0.25">
      <c r="A1" s="516"/>
      <c r="B1" s="518"/>
      <c r="C1" s="516" t="s">
        <v>72</v>
      </c>
      <c r="D1" s="517"/>
      <c r="E1" s="517"/>
      <c r="F1" s="517"/>
      <c r="G1" s="517"/>
      <c r="H1" s="518"/>
    </row>
    <row r="2" spans="1:16" ht="21.75" thickBot="1" x14ac:dyDescent="0.3">
      <c r="A2" s="527" t="s">
        <v>101</v>
      </c>
      <c r="B2" s="528"/>
      <c r="C2" s="528"/>
      <c r="D2" s="528"/>
      <c r="E2" s="528"/>
      <c r="F2" s="528"/>
      <c r="G2" s="528"/>
      <c r="H2" s="529"/>
    </row>
    <row r="3" spans="1:16" ht="15.75" thickBot="1" x14ac:dyDescent="0.3">
      <c r="A3" s="1"/>
      <c r="B3" s="2"/>
      <c r="C3" s="2"/>
      <c r="D3" s="2"/>
      <c r="E3" s="2"/>
      <c r="F3" s="2"/>
      <c r="G3" s="530" t="s">
        <v>0</v>
      </c>
      <c r="H3" s="531"/>
      <c r="N3" s="17">
        <f>M11-L11</f>
        <v>3.3000000000001819</v>
      </c>
    </row>
    <row r="4" spans="1:16" ht="30" x14ac:dyDescent="0.25">
      <c r="A4" s="532" t="s">
        <v>1</v>
      </c>
      <c r="B4" s="534" t="s">
        <v>2</v>
      </c>
      <c r="C4" s="536" t="s">
        <v>3</v>
      </c>
      <c r="D4" s="538" t="s">
        <v>4</v>
      </c>
      <c r="E4" s="538" t="s">
        <v>5</v>
      </c>
      <c r="F4" s="540" t="s">
        <v>6</v>
      </c>
      <c r="G4" s="3" t="s">
        <v>7</v>
      </c>
      <c r="H4" s="3" t="s">
        <v>9</v>
      </c>
    </row>
    <row r="5" spans="1:16" ht="15.75" thickBot="1" x14ac:dyDescent="0.3">
      <c r="A5" s="533"/>
      <c r="B5" s="535"/>
      <c r="C5" s="537"/>
      <c r="D5" s="539"/>
      <c r="E5" s="539"/>
      <c r="F5" s="541"/>
      <c r="G5" s="4" t="s">
        <v>8</v>
      </c>
      <c r="H5" s="4" t="s">
        <v>10</v>
      </c>
    </row>
    <row r="6" spans="1:16" ht="15.75" thickBot="1" x14ac:dyDescent="0.3">
      <c r="A6" s="5">
        <v>1</v>
      </c>
      <c r="B6" s="6"/>
      <c r="C6" s="7"/>
      <c r="D6" s="8" t="s">
        <v>11</v>
      </c>
      <c r="E6" s="9"/>
      <c r="F6" s="40"/>
      <c r="G6" s="11"/>
      <c r="H6" s="11"/>
    </row>
    <row r="7" spans="1:16" ht="15.75" thickBot="1" x14ac:dyDescent="0.3">
      <c r="A7" s="12" t="s">
        <v>12</v>
      </c>
      <c r="B7" s="13" t="s">
        <v>13</v>
      </c>
      <c r="C7" s="14" t="s">
        <v>14</v>
      </c>
      <c r="D7" s="15" t="s">
        <v>15</v>
      </c>
      <c r="E7" s="9" t="s">
        <v>16</v>
      </c>
      <c r="F7" s="9">
        <v>750</v>
      </c>
      <c r="G7" s="18">
        <v>9.7100000000000009</v>
      </c>
      <c r="H7" s="18">
        <f>G7*F7</f>
        <v>7282.5000000000009</v>
      </c>
      <c r="J7" s="16">
        <v>750</v>
      </c>
      <c r="K7" s="16">
        <v>16.190000000000001</v>
      </c>
      <c r="L7" s="18">
        <v>12142.5</v>
      </c>
      <c r="M7" s="18">
        <f>J7*K7</f>
        <v>12142.500000000002</v>
      </c>
      <c r="N7">
        <f>5/100</f>
        <v>0.05</v>
      </c>
    </row>
    <row r="8" spans="1:16" ht="45.75" thickBot="1" x14ac:dyDescent="0.3">
      <c r="A8" s="12" t="s">
        <v>17</v>
      </c>
      <c r="B8" s="19" t="s">
        <v>18</v>
      </c>
      <c r="C8" s="14">
        <v>10512</v>
      </c>
      <c r="D8" s="15" t="s">
        <v>19</v>
      </c>
      <c r="E8" s="9" t="s">
        <v>20</v>
      </c>
      <c r="F8" s="9">
        <v>0.2</v>
      </c>
      <c r="G8" s="18">
        <v>17799.07</v>
      </c>
      <c r="H8" s="18">
        <f t="shared" ref="H8:H26" si="0">G8*F8</f>
        <v>3559.8140000000003</v>
      </c>
      <c r="J8" s="16">
        <v>0.2</v>
      </c>
      <c r="K8" s="18">
        <v>17799.07</v>
      </c>
      <c r="L8" s="18">
        <v>3559.81</v>
      </c>
      <c r="M8" s="18">
        <f t="shared" ref="M8:M26" si="1">J8*K8</f>
        <v>3559.8140000000003</v>
      </c>
      <c r="N8">
        <f t="shared" ref="N8:N26" si="2">5/100</f>
        <v>0.05</v>
      </c>
    </row>
    <row r="9" spans="1:16" ht="30.75" thickBot="1" x14ac:dyDescent="0.3">
      <c r="A9" s="12" t="s">
        <v>21</v>
      </c>
      <c r="B9" s="13" t="s">
        <v>18</v>
      </c>
      <c r="C9" s="14">
        <v>99579</v>
      </c>
      <c r="D9" s="15" t="s">
        <v>22</v>
      </c>
      <c r="E9" s="9" t="s">
        <v>23</v>
      </c>
      <c r="F9" s="9">
        <v>1</v>
      </c>
      <c r="G9" s="18">
        <v>1536.62</v>
      </c>
      <c r="H9" s="18">
        <f t="shared" si="0"/>
        <v>1536.62</v>
      </c>
      <c r="J9" s="16">
        <v>1</v>
      </c>
      <c r="K9" s="18">
        <v>1617.49</v>
      </c>
      <c r="L9" s="18">
        <v>1617.49</v>
      </c>
      <c r="M9" s="18">
        <f t="shared" si="1"/>
        <v>1617.49</v>
      </c>
      <c r="N9">
        <f t="shared" si="2"/>
        <v>0.05</v>
      </c>
      <c r="O9" s="17">
        <f>K9*N9</f>
        <v>80.874500000000012</v>
      </c>
      <c r="P9" s="17">
        <f>K9-O9</f>
        <v>1536.6154999999999</v>
      </c>
    </row>
    <row r="10" spans="1:16" ht="30.75" thickBot="1" x14ac:dyDescent="0.3">
      <c r="A10" s="12" t="s">
        <v>24</v>
      </c>
      <c r="B10" s="13" t="s">
        <v>18</v>
      </c>
      <c r="C10" s="14">
        <v>99587</v>
      </c>
      <c r="D10" s="15" t="s">
        <v>25</v>
      </c>
      <c r="E10" s="9" t="s">
        <v>26</v>
      </c>
      <c r="F10" s="9">
        <v>50</v>
      </c>
      <c r="G10" s="18">
        <v>117.98</v>
      </c>
      <c r="H10" s="18">
        <f t="shared" si="0"/>
        <v>5899</v>
      </c>
      <c r="J10" s="16">
        <v>50</v>
      </c>
      <c r="K10" s="16">
        <v>124.19</v>
      </c>
      <c r="L10" s="18">
        <v>6209.58</v>
      </c>
      <c r="M10" s="18">
        <f>J10*K10</f>
        <v>6209.5</v>
      </c>
      <c r="N10">
        <f t="shared" si="2"/>
        <v>0.05</v>
      </c>
      <c r="O10" s="17">
        <f t="shared" ref="O10:O26" si="3">K10*N10</f>
        <v>6.2095000000000002</v>
      </c>
      <c r="P10" s="17">
        <f t="shared" ref="P10:P26" si="4">K10-O10</f>
        <v>117.98049999999999</v>
      </c>
    </row>
    <row r="11" spans="1:16" ht="45.75" thickBot="1" x14ac:dyDescent="0.3">
      <c r="A11" s="12" t="s">
        <v>27</v>
      </c>
      <c r="B11" s="13" t="s">
        <v>28</v>
      </c>
      <c r="C11" s="14" t="s">
        <v>29</v>
      </c>
      <c r="D11" s="15" t="s">
        <v>30</v>
      </c>
      <c r="E11" s="9" t="s">
        <v>16</v>
      </c>
      <c r="F11" s="19">
        <v>750</v>
      </c>
      <c r="G11" s="18">
        <v>8.7899999999999991</v>
      </c>
      <c r="H11" s="18">
        <f>G11*F11</f>
        <v>6592.4999999999991</v>
      </c>
      <c r="J11" s="19">
        <v>750</v>
      </c>
      <c r="K11" s="16">
        <v>9.25</v>
      </c>
      <c r="L11" s="41">
        <v>6934.2</v>
      </c>
      <c r="M11" s="41">
        <f>J11*K11</f>
        <v>6937.5</v>
      </c>
      <c r="N11">
        <f t="shared" si="2"/>
        <v>0.05</v>
      </c>
      <c r="O11" s="17">
        <f t="shared" si="3"/>
        <v>0.46250000000000002</v>
      </c>
      <c r="P11" s="17">
        <f t="shared" si="4"/>
        <v>8.7874999999999996</v>
      </c>
    </row>
    <row r="12" spans="1:16" ht="15.75" thickBot="1" x14ac:dyDescent="0.3">
      <c r="A12" s="5">
        <v>2</v>
      </c>
      <c r="B12" s="6"/>
      <c r="C12" s="20"/>
      <c r="D12" s="20" t="s">
        <v>31</v>
      </c>
      <c r="E12" s="10"/>
      <c r="F12" s="6"/>
      <c r="G12" s="42"/>
      <c r="H12" s="18"/>
      <c r="J12" s="11"/>
      <c r="K12" s="11"/>
      <c r="L12" s="11"/>
      <c r="M12" s="18"/>
      <c r="N12">
        <f t="shared" si="2"/>
        <v>0.05</v>
      </c>
      <c r="O12" s="17">
        <f t="shared" si="3"/>
        <v>0</v>
      </c>
      <c r="P12" s="17">
        <f t="shared" si="4"/>
        <v>0</v>
      </c>
    </row>
    <row r="13" spans="1:16" ht="15.75" thickBot="1" x14ac:dyDescent="0.3">
      <c r="A13" s="12" t="s">
        <v>32</v>
      </c>
      <c r="B13" s="19" t="s">
        <v>33</v>
      </c>
      <c r="C13" s="14"/>
      <c r="D13" s="15" t="s">
        <v>34</v>
      </c>
      <c r="E13" s="9" t="s">
        <v>35</v>
      </c>
      <c r="F13" s="9">
        <v>750</v>
      </c>
      <c r="G13" s="18">
        <v>16.04</v>
      </c>
      <c r="H13" s="18">
        <f t="shared" si="0"/>
        <v>12030</v>
      </c>
      <c r="J13" s="16">
        <v>750</v>
      </c>
      <c r="K13" s="16">
        <v>22.92</v>
      </c>
      <c r="L13" s="18">
        <v>17190</v>
      </c>
      <c r="M13" s="18">
        <f t="shared" si="1"/>
        <v>17190</v>
      </c>
      <c r="N13">
        <f t="shared" si="2"/>
        <v>0.05</v>
      </c>
      <c r="O13" s="17">
        <f t="shared" si="3"/>
        <v>1.1460000000000001</v>
      </c>
      <c r="P13" s="17">
        <f t="shared" si="4"/>
        <v>21.774000000000001</v>
      </c>
    </row>
    <row r="14" spans="1:16" ht="15.75" thickBot="1" x14ac:dyDescent="0.3">
      <c r="A14" s="12" t="s">
        <v>36</v>
      </c>
      <c r="B14" s="19" t="s">
        <v>33</v>
      </c>
      <c r="C14" s="14"/>
      <c r="D14" s="15" t="s">
        <v>37</v>
      </c>
      <c r="E14" s="9" t="s">
        <v>35</v>
      </c>
      <c r="F14" s="9">
        <v>750</v>
      </c>
      <c r="G14" s="18">
        <v>13.25</v>
      </c>
      <c r="H14" s="18">
        <f t="shared" si="0"/>
        <v>9937.5</v>
      </c>
      <c r="J14" s="16">
        <v>750</v>
      </c>
      <c r="K14" s="16">
        <v>13.95</v>
      </c>
      <c r="L14" s="18">
        <v>10462.5</v>
      </c>
      <c r="M14" s="18">
        <f t="shared" si="1"/>
        <v>10462.5</v>
      </c>
      <c r="N14">
        <f t="shared" si="2"/>
        <v>0.05</v>
      </c>
      <c r="O14" s="17">
        <f t="shared" si="3"/>
        <v>0.69750000000000001</v>
      </c>
      <c r="P14" s="17">
        <f t="shared" si="4"/>
        <v>13.2525</v>
      </c>
    </row>
    <row r="15" spans="1:16" ht="15.75" thickBot="1" x14ac:dyDescent="0.3">
      <c r="A15" s="12" t="s">
        <v>38</v>
      </c>
      <c r="B15" s="19" t="s">
        <v>33</v>
      </c>
      <c r="C15" s="14"/>
      <c r="D15" s="15" t="s">
        <v>39</v>
      </c>
      <c r="E15" s="9" t="s">
        <v>35</v>
      </c>
      <c r="F15" s="9">
        <v>750</v>
      </c>
      <c r="G15" s="18">
        <v>8.1999999999999993</v>
      </c>
      <c r="H15" s="18">
        <f t="shared" si="0"/>
        <v>6149.9999999999991</v>
      </c>
      <c r="J15" s="16">
        <v>750</v>
      </c>
      <c r="K15" s="16">
        <v>8.6300000000000008</v>
      </c>
      <c r="L15" s="18">
        <v>6472.5</v>
      </c>
      <c r="M15" s="18">
        <f t="shared" si="1"/>
        <v>6472.5000000000009</v>
      </c>
      <c r="N15">
        <f t="shared" si="2"/>
        <v>0.05</v>
      </c>
      <c r="O15" s="17">
        <f t="shared" si="3"/>
        <v>0.43150000000000005</v>
      </c>
      <c r="P15" s="17">
        <f t="shared" si="4"/>
        <v>8.198500000000001</v>
      </c>
    </row>
    <row r="16" spans="1:16" ht="15.75" thickBot="1" x14ac:dyDescent="0.3">
      <c r="A16" s="12" t="s">
        <v>40</v>
      </c>
      <c r="B16" s="19" t="s">
        <v>33</v>
      </c>
      <c r="C16" s="14"/>
      <c r="D16" s="15" t="s">
        <v>41</v>
      </c>
      <c r="E16" s="9" t="s">
        <v>35</v>
      </c>
      <c r="F16" s="9">
        <v>750</v>
      </c>
      <c r="G16" s="18">
        <v>8.86</v>
      </c>
      <c r="H16" s="18">
        <f t="shared" si="0"/>
        <v>6645</v>
      </c>
      <c r="J16" s="16">
        <v>750</v>
      </c>
      <c r="K16" s="16">
        <v>9.33</v>
      </c>
      <c r="L16" s="18">
        <v>6997.5</v>
      </c>
      <c r="M16" s="18">
        <f t="shared" si="1"/>
        <v>6997.5</v>
      </c>
      <c r="N16">
        <f t="shared" si="2"/>
        <v>0.05</v>
      </c>
      <c r="O16" s="17">
        <f t="shared" si="3"/>
        <v>0.46650000000000003</v>
      </c>
      <c r="P16" s="17">
        <f t="shared" si="4"/>
        <v>8.8635000000000002</v>
      </c>
    </row>
    <row r="17" spans="1:16" ht="15.75" thickBot="1" x14ac:dyDescent="0.3">
      <c r="A17" s="12" t="s">
        <v>42</v>
      </c>
      <c r="B17" s="19" t="s">
        <v>33</v>
      </c>
      <c r="C17" s="14"/>
      <c r="D17" s="15" t="s">
        <v>43</v>
      </c>
      <c r="E17" s="9" t="s">
        <v>35</v>
      </c>
      <c r="F17" s="9">
        <v>750</v>
      </c>
      <c r="G17" s="18">
        <v>4.4400000000000004</v>
      </c>
      <c r="H17" s="18">
        <f t="shared" si="0"/>
        <v>3330.0000000000005</v>
      </c>
      <c r="J17" s="16">
        <v>750</v>
      </c>
      <c r="K17" s="16">
        <v>4.67</v>
      </c>
      <c r="L17" s="18">
        <v>3502.5</v>
      </c>
      <c r="M17" s="18">
        <f t="shared" si="1"/>
        <v>3502.5</v>
      </c>
      <c r="N17">
        <f t="shared" si="2"/>
        <v>0.05</v>
      </c>
      <c r="O17" s="17">
        <f t="shared" si="3"/>
        <v>0.23350000000000001</v>
      </c>
      <c r="P17" s="17">
        <f t="shared" si="4"/>
        <v>4.4364999999999997</v>
      </c>
    </row>
    <row r="18" spans="1:16" ht="15.75" thickBot="1" x14ac:dyDescent="0.3">
      <c r="A18" s="12" t="s">
        <v>44</v>
      </c>
      <c r="B18" s="19" t="s">
        <v>33</v>
      </c>
      <c r="C18" s="14"/>
      <c r="D18" s="15" t="s">
        <v>45</v>
      </c>
      <c r="E18" s="9" t="s">
        <v>35</v>
      </c>
      <c r="F18" s="9">
        <v>750</v>
      </c>
      <c r="G18" s="18">
        <v>2.25</v>
      </c>
      <c r="H18" s="18">
        <f t="shared" si="0"/>
        <v>1687.5</v>
      </c>
      <c r="J18" s="16">
        <v>750</v>
      </c>
      <c r="K18" s="16">
        <v>2.37</v>
      </c>
      <c r="L18" s="18">
        <v>1777.5</v>
      </c>
      <c r="M18" s="18">
        <f t="shared" si="1"/>
        <v>1777.5</v>
      </c>
      <c r="N18">
        <f t="shared" si="2"/>
        <v>0.05</v>
      </c>
      <c r="O18" s="17">
        <f t="shared" si="3"/>
        <v>0.11850000000000001</v>
      </c>
      <c r="P18" s="17">
        <f t="shared" si="4"/>
        <v>2.2515000000000001</v>
      </c>
    </row>
    <row r="19" spans="1:16" ht="15.75" thickBot="1" x14ac:dyDescent="0.3">
      <c r="A19" s="12" t="s">
        <v>46</v>
      </c>
      <c r="B19" s="19" t="s">
        <v>33</v>
      </c>
      <c r="C19" s="14"/>
      <c r="D19" s="15" t="s">
        <v>47</v>
      </c>
      <c r="E19" s="9" t="s">
        <v>35</v>
      </c>
      <c r="F19" s="9">
        <v>750</v>
      </c>
      <c r="G19" s="18">
        <v>3.58</v>
      </c>
      <c r="H19" s="18">
        <f t="shared" si="0"/>
        <v>2685</v>
      </c>
      <c r="J19" s="16">
        <v>750</v>
      </c>
      <c r="K19" s="16">
        <v>3.77</v>
      </c>
      <c r="L19" s="18">
        <v>2827.5</v>
      </c>
      <c r="M19" s="18">
        <f t="shared" si="1"/>
        <v>2827.5</v>
      </c>
      <c r="N19">
        <f t="shared" si="2"/>
        <v>0.05</v>
      </c>
      <c r="O19" s="17">
        <f t="shared" si="3"/>
        <v>0.1885</v>
      </c>
      <c r="P19" s="17">
        <f t="shared" si="4"/>
        <v>3.5815000000000001</v>
      </c>
    </row>
    <row r="20" spans="1:16" ht="15.75" thickBot="1" x14ac:dyDescent="0.3">
      <c r="A20" s="12" t="s">
        <v>48</v>
      </c>
      <c r="B20" s="19" t="s">
        <v>33</v>
      </c>
      <c r="C20" s="14"/>
      <c r="D20" s="15" t="s">
        <v>49</v>
      </c>
      <c r="E20" s="9" t="s">
        <v>35</v>
      </c>
      <c r="F20" s="9">
        <v>425</v>
      </c>
      <c r="G20" s="18">
        <v>2.25</v>
      </c>
      <c r="H20" s="18">
        <f t="shared" si="0"/>
        <v>956.25</v>
      </c>
      <c r="J20" s="16">
        <v>425</v>
      </c>
      <c r="K20" s="16">
        <v>2.37</v>
      </c>
      <c r="L20" s="18">
        <v>1007.25</v>
      </c>
      <c r="M20" s="18">
        <f t="shared" si="1"/>
        <v>1007.25</v>
      </c>
      <c r="N20">
        <f t="shared" si="2"/>
        <v>0.05</v>
      </c>
      <c r="O20" s="17">
        <f t="shared" si="3"/>
        <v>0.11850000000000001</v>
      </c>
      <c r="P20" s="17">
        <f t="shared" si="4"/>
        <v>2.2515000000000001</v>
      </c>
    </row>
    <row r="21" spans="1:16" ht="15.75" thickBot="1" x14ac:dyDescent="0.3">
      <c r="A21" s="12" t="s">
        <v>50</v>
      </c>
      <c r="B21" s="19" t="s">
        <v>33</v>
      </c>
      <c r="C21" s="14"/>
      <c r="D21" s="15" t="s">
        <v>51</v>
      </c>
      <c r="E21" s="9" t="s">
        <v>35</v>
      </c>
      <c r="F21" s="9">
        <v>300</v>
      </c>
      <c r="G21" s="18">
        <v>3.48</v>
      </c>
      <c r="H21" s="18">
        <f t="shared" si="0"/>
        <v>1044</v>
      </c>
      <c r="J21" s="16">
        <v>300</v>
      </c>
      <c r="K21" s="16">
        <v>3.66</v>
      </c>
      <c r="L21" s="18">
        <v>1098</v>
      </c>
      <c r="M21" s="18">
        <f t="shared" si="1"/>
        <v>1098</v>
      </c>
      <c r="N21">
        <f t="shared" si="2"/>
        <v>0.05</v>
      </c>
      <c r="O21" s="17">
        <f t="shared" si="3"/>
        <v>0.18300000000000002</v>
      </c>
      <c r="P21" s="17">
        <f t="shared" si="4"/>
        <v>3.4770000000000003</v>
      </c>
    </row>
    <row r="22" spans="1:16" ht="15.75" thickBot="1" x14ac:dyDescent="0.3">
      <c r="A22" s="12" t="s">
        <v>52</v>
      </c>
      <c r="B22" s="19" t="s">
        <v>33</v>
      </c>
      <c r="C22" s="14"/>
      <c r="D22" s="15" t="s">
        <v>53</v>
      </c>
      <c r="E22" s="9" t="s">
        <v>35</v>
      </c>
      <c r="F22" s="9">
        <v>250</v>
      </c>
      <c r="G22" s="18">
        <v>2.19</v>
      </c>
      <c r="H22" s="18">
        <f t="shared" si="0"/>
        <v>547.5</v>
      </c>
      <c r="J22" s="16">
        <v>250</v>
      </c>
      <c r="K22" s="16">
        <v>2.31</v>
      </c>
      <c r="L22" s="16">
        <v>577.5</v>
      </c>
      <c r="M22" s="18">
        <f t="shared" si="1"/>
        <v>577.5</v>
      </c>
      <c r="N22">
        <f t="shared" si="2"/>
        <v>0.05</v>
      </c>
      <c r="O22" s="17">
        <f t="shared" si="3"/>
        <v>0.11550000000000001</v>
      </c>
      <c r="P22" s="17">
        <f t="shared" si="4"/>
        <v>2.1945000000000001</v>
      </c>
    </row>
    <row r="23" spans="1:16" ht="15.75" thickBot="1" x14ac:dyDescent="0.3">
      <c r="A23" s="5">
        <v>3</v>
      </c>
      <c r="B23" s="6"/>
      <c r="C23" s="20"/>
      <c r="D23" s="20" t="s">
        <v>54</v>
      </c>
      <c r="E23" s="10"/>
      <c r="F23" s="6"/>
      <c r="G23" s="42"/>
      <c r="H23" s="18"/>
      <c r="J23" s="11"/>
      <c r="K23" s="11"/>
      <c r="L23" s="11"/>
      <c r="M23" s="18">
        <f t="shared" si="1"/>
        <v>0</v>
      </c>
      <c r="N23">
        <f t="shared" si="2"/>
        <v>0.05</v>
      </c>
      <c r="O23" s="17">
        <f t="shared" si="3"/>
        <v>0</v>
      </c>
      <c r="P23" s="17">
        <f t="shared" si="4"/>
        <v>0</v>
      </c>
    </row>
    <row r="24" spans="1:16" ht="45.75" thickBot="1" x14ac:dyDescent="0.3">
      <c r="A24" s="12" t="s">
        <v>55</v>
      </c>
      <c r="B24" s="19" t="s">
        <v>33</v>
      </c>
      <c r="C24" s="14"/>
      <c r="D24" s="15" t="s">
        <v>56</v>
      </c>
      <c r="E24" s="9" t="s">
        <v>35</v>
      </c>
      <c r="F24" s="9">
        <v>750</v>
      </c>
      <c r="G24" s="18">
        <v>4.7300000000000004</v>
      </c>
      <c r="H24" s="18">
        <f t="shared" si="0"/>
        <v>3547.5000000000005</v>
      </c>
      <c r="J24" s="16">
        <v>750</v>
      </c>
      <c r="K24" s="16">
        <v>4.7300000000000004</v>
      </c>
      <c r="L24" s="18">
        <v>3547.5</v>
      </c>
      <c r="M24" s="18">
        <f t="shared" si="1"/>
        <v>3547.5000000000005</v>
      </c>
      <c r="N24">
        <f t="shared" si="2"/>
        <v>0.05</v>
      </c>
      <c r="O24" s="17">
        <f t="shared" si="3"/>
        <v>0.23650000000000004</v>
      </c>
      <c r="P24" s="17">
        <f t="shared" si="4"/>
        <v>4.4935</v>
      </c>
    </row>
    <row r="25" spans="1:16" ht="15.75" thickBot="1" x14ac:dyDescent="0.3">
      <c r="A25" s="5">
        <v>4</v>
      </c>
      <c r="B25" s="6"/>
      <c r="C25" s="20"/>
      <c r="D25" s="20" t="s">
        <v>57</v>
      </c>
      <c r="E25" s="10"/>
      <c r="F25" s="6"/>
      <c r="G25" s="42"/>
      <c r="H25" s="18"/>
      <c r="J25" s="11"/>
      <c r="K25" s="11"/>
      <c r="L25" s="11"/>
      <c r="M25" s="18"/>
      <c r="N25">
        <f t="shared" si="2"/>
        <v>0.05</v>
      </c>
      <c r="O25" s="17">
        <f t="shared" si="3"/>
        <v>0</v>
      </c>
      <c r="P25" s="17">
        <f t="shared" si="4"/>
        <v>0</v>
      </c>
    </row>
    <row r="26" spans="1:16" ht="15.75" thickBot="1" x14ac:dyDescent="0.3">
      <c r="A26" s="21" t="s">
        <v>58</v>
      </c>
      <c r="B26" s="19" t="s">
        <v>59</v>
      </c>
      <c r="C26" s="14"/>
      <c r="D26" s="15" t="s">
        <v>60</v>
      </c>
      <c r="E26" s="9" t="s">
        <v>23</v>
      </c>
      <c r="F26" s="9">
        <v>100</v>
      </c>
      <c r="G26" s="43">
        <v>163.18</v>
      </c>
      <c r="H26" s="18">
        <f t="shared" si="0"/>
        <v>16318</v>
      </c>
      <c r="J26" s="9">
        <v>100</v>
      </c>
      <c r="K26" s="9">
        <v>163.18</v>
      </c>
      <c r="L26" s="18">
        <v>16318</v>
      </c>
      <c r="M26" s="18">
        <f t="shared" si="1"/>
        <v>16318</v>
      </c>
      <c r="N26">
        <f t="shared" si="2"/>
        <v>0.05</v>
      </c>
      <c r="O26" s="17">
        <f t="shared" si="3"/>
        <v>8.1590000000000007</v>
      </c>
      <c r="P26" s="17">
        <f t="shared" si="4"/>
        <v>155.02100000000002</v>
      </c>
    </row>
    <row r="27" spans="1:16" ht="15.75" thickBot="1" x14ac:dyDescent="0.3">
      <c r="A27" s="519" t="s">
        <v>61</v>
      </c>
      <c r="B27" s="520"/>
      <c r="C27" s="520"/>
      <c r="D27" s="520"/>
      <c r="E27" s="520"/>
      <c r="F27" s="520"/>
      <c r="G27" s="521"/>
      <c r="H27" s="23">
        <f>SUM(H7:H26)</f>
        <v>89748.684000000008</v>
      </c>
      <c r="M27" s="17">
        <f>SUM(M7:M26)</f>
        <v>102245.054</v>
      </c>
    </row>
    <row r="28" spans="1:16" ht="15.75" thickBot="1" x14ac:dyDescent="0.3">
      <c r="A28" s="24" t="s">
        <v>62</v>
      </c>
      <c r="B28" s="25"/>
      <c r="C28" s="26"/>
      <c r="D28" s="26"/>
      <c r="E28" s="25"/>
      <c r="F28" s="27"/>
      <c r="G28" s="28"/>
      <c r="H28" s="29"/>
      <c r="M28" s="22">
        <f>M27-H27</f>
        <v>12496.369999999995</v>
      </c>
    </row>
    <row r="29" spans="1:16" ht="15.75" thickBot="1" x14ac:dyDescent="0.3">
      <c r="A29" s="30" t="s">
        <v>63</v>
      </c>
      <c r="B29" s="31"/>
      <c r="C29" s="32"/>
      <c r="D29" s="33">
        <v>0.15570000000000001</v>
      </c>
      <c r="E29" s="522"/>
      <c r="F29" s="523"/>
      <c r="G29" s="523"/>
      <c r="H29" s="524"/>
      <c r="J29" t="s">
        <v>100</v>
      </c>
      <c r="M29" s="23">
        <v>102241.83</v>
      </c>
    </row>
    <row r="30" spans="1:16" ht="15.75" thickBot="1" x14ac:dyDescent="0.3">
      <c r="A30" s="525" t="s">
        <v>64</v>
      </c>
      <c r="B30" s="526"/>
      <c r="C30" s="526"/>
      <c r="D30" s="526"/>
      <c r="E30" s="526"/>
      <c r="F30" s="526"/>
      <c r="G30" s="34"/>
      <c r="H30" s="35"/>
    </row>
    <row r="31" spans="1:16" ht="15.75" thickBot="1" x14ac:dyDescent="0.3">
      <c r="A31" s="542" t="s">
        <v>65</v>
      </c>
      <c r="B31" s="543"/>
      <c r="C31" s="543"/>
      <c r="D31" s="543"/>
      <c r="E31" s="543"/>
      <c r="F31" s="543"/>
      <c r="G31" s="543"/>
      <c r="H31" s="36"/>
    </row>
    <row r="32" spans="1:16" ht="15.75" thickBot="1" x14ac:dyDescent="0.3">
      <c r="A32" s="542" t="s">
        <v>66</v>
      </c>
      <c r="B32" s="543"/>
      <c r="C32" s="37"/>
      <c r="D32" s="37"/>
      <c r="E32" s="37"/>
      <c r="F32" s="37"/>
      <c r="G32" s="37"/>
      <c r="H32" s="36"/>
    </row>
    <row r="33" spans="1:10" ht="15.75" thickBot="1" x14ac:dyDescent="0.3">
      <c r="A33" s="542" t="s">
        <v>67</v>
      </c>
      <c r="B33" s="543"/>
      <c r="C33" s="543"/>
      <c r="D33" s="543"/>
      <c r="E33" s="543"/>
      <c r="F33" s="37"/>
      <c r="G33" s="37"/>
      <c r="H33" s="36"/>
    </row>
    <row r="34" spans="1:10" ht="15.75" thickBot="1" x14ac:dyDescent="0.3">
      <c r="A34" s="542" t="s">
        <v>68</v>
      </c>
      <c r="B34" s="543"/>
      <c r="C34" s="543"/>
      <c r="D34" s="543"/>
      <c r="E34" s="543"/>
      <c r="F34" s="543"/>
      <c r="G34" s="543"/>
      <c r="H34" s="36"/>
    </row>
    <row r="35" spans="1:10" ht="18" thickBot="1" x14ac:dyDescent="0.3">
      <c r="A35" s="542" t="s">
        <v>69</v>
      </c>
      <c r="B35" s="543"/>
      <c r="C35" s="543"/>
      <c r="D35" s="543"/>
      <c r="E35" s="37"/>
      <c r="F35" s="37"/>
      <c r="G35" s="37"/>
      <c r="H35" s="36"/>
      <c r="J35" s="17">
        <f>SUM(H7:H26)</f>
        <v>89748.684000000008</v>
      </c>
    </row>
    <row r="36" spans="1:10" ht="18" thickBot="1" x14ac:dyDescent="0.3">
      <c r="A36" s="542" t="s">
        <v>70</v>
      </c>
      <c r="B36" s="543"/>
      <c r="C36" s="543"/>
      <c r="D36" s="543"/>
      <c r="E36" s="37"/>
      <c r="F36" s="37"/>
      <c r="G36" s="37"/>
      <c r="H36" s="36"/>
    </row>
    <row r="37" spans="1:10" ht="15.75" thickBot="1" x14ac:dyDescent="0.3">
      <c r="A37" s="38" t="s">
        <v>71</v>
      </c>
      <c r="B37" s="39"/>
      <c r="C37" s="39"/>
      <c r="D37" s="39"/>
      <c r="E37" s="39"/>
      <c r="F37" s="39"/>
      <c r="G37" s="39"/>
      <c r="H37" s="9"/>
    </row>
  </sheetData>
  <mergeCells count="19">
    <mergeCell ref="A34:G34"/>
    <mergeCell ref="A35:D35"/>
    <mergeCell ref="A36:D36"/>
    <mergeCell ref="A31:G31"/>
    <mergeCell ref="A32:B32"/>
    <mergeCell ref="A33:E33"/>
    <mergeCell ref="C1:H1"/>
    <mergeCell ref="A1:B1"/>
    <mergeCell ref="A27:G27"/>
    <mergeCell ref="E29:H29"/>
    <mergeCell ref="A30:F30"/>
    <mergeCell ref="A2:H2"/>
    <mergeCell ref="G3:H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G647"/>
  <sheetViews>
    <sheetView showZeros="0" tabSelected="1" zoomScale="70" zoomScaleNormal="70" zoomScaleSheetLayoutView="106" workbookViewId="0">
      <pane ySplit="7" topLeftCell="A608" activePane="bottomLeft" state="frozen"/>
      <selection pane="bottomLeft" activeCell="G625" sqref="G625"/>
    </sheetView>
  </sheetViews>
  <sheetFormatPr defaultColWidth="9.140625" defaultRowHeight="12.75" x14ac:dyDescent="0.2"/>
  <cols>
    <col min="1" max="1" width="10.85546875" style="403" customWidth="1"/>
    <col min="2" max="2" width="58.28515625" style="404" customWidth="1"/>
    <col min="3" max="3" width="11.28515625" style="405" customWidth="1"/>
    <col min="4" max="4" width="10.7109375" style="406" customWidth="1"/>
    <col min="5" max="5" width="14.140625" style="406" customWidth="1"/>
    <col min="6" max="6" width="16" style="406" customWidth="1"/>
    <col min="7" max="7" width="12.7109375" style="407" customWidth="1"/>
    <col min="8" max="8" width="17.140625" style="407" customWidth="1"/>
    <col min="9" max="9" width="11.7109375" style="407" customWidth="1"/>
    <col min="10" max="10" width="12.140625" style="407" hidden="1" customWidth="1"/>
    <col min="11" max="11" width="15.85546875" style="407" hidden="1" customWidth="1"/>
    <col min="12" max="12" width="12.42578125" style="408" hidden="1" customWidth="1"/>
    <col min="13" max="13" width="12.5703125" style="386" hidden="1" customWidth="1"/>
    <col min="14" max="14" width="33.28515625" style="386" hidden="1" customWidth="1"/>
    <col min="15" max="15" width="28.5703125" style="386" hidden="1" customWidth="1"/>
    <col min="16" max="16" width="22.140625" style="386" hidden="1" customWidth="1"/>
    <col min="17" max="17" width="0" style="386" hidden="1" customWidth="1"/>
    <col min="18" max="18" width="12.28515625" style="386" hidden="1" customWidth="1"/>
    <col min="19" max="19" width="0" style="386" hidden="1" customWidth="1"/>
    <col min="20" max="20" width="14.140625" style="386" hidden="1" customWidth="1"/>
    <col min="21" max="21" width="14" style="386" hidden="1" customWidth="1"/>
    <col min="22" max="22" width="9.5703125" style="386" hidden="1" customWidth="1"/>
    <col min="23" max="23" width="12.42578125" style="386" hidden="1" customWidth="1"/>
    <col min="24" max="24" width="9.42578125" style="386" hidden="1" customWidth="1"/>
    <col min="25" max="25" width="9.5703125" style="386" hidden="1" customWidth="1"/>
    <col min="26" max="26" width="12.140625" style="386" hidden="1" customWidth="1"/>
    <col min="27" max="27" width="8.140625" style="386" hidden="1" customWidth="1"/>
    <col min="28" max="28" width="8" style="386" hidden="1" customWidth="1"/>
    <col min="29" max="29" width="12.140625" style="386" hidden="1" customWidth="1"/>
    <col min="30" max="30" width="9.42578125" style="386" hidden="1" customWidth="1"/>
    <col min="31" max="31" width="9.5703125" style="386" hidden="1" customWidth="1"/>
    <col min="32" max="32" width="12.140625" style="386" hidden="1" customWidth="1"/>
    <col min="33" max="33" width="9.42578125" style="386" hidden="1" customWidth="1"/>
    <col min="34" max="16384" width="9.140625" style="386"/>
  </cols>
  <sheetData>
    <row r="1" spans="1:21" s="383" customFormat="1" ht="15.75" thickBot="1" x14ac:dyDescent="0.3">
      <c r="A1" s="382"/>
      <c r="B1" s="556" t="s">
        <v>124</v>
      </c>
      <c r="C1" s="556"/>
      <c r="D1" s="556"/>
      <c r="E1" s="556"/>
      <c r="F1" s="557"/>
      <c r="G1" s="560"/>
      <c r="H1" s="560"/>
      <c r="I1" s="561"/>
      <c r="J1" s="586" t="s">
        <v>134</v>
      </c>
      <c r="K1" s="587"/>
      <c r="L1" s="588"/>
    </row>
    <row r="2" spans="1:21" s="383" customFormat="1" ht="30.75" customHeight="1" thickBot="1" x14ac:dyDescent="0.3">
      <c r="A2" s="384"/>
      <c r="B2" s="558"/>
      <c r="C2" s="558"/>
      <c r="D2" s="558"/>
      <c r="E2" s="558"/>
      <c r="F2" s="559"/>
      <c r="G2" s="549" t="s">
        <v>173</v>
      </c>
      <c r="H2" s="550"/>
      <c r="I2" s="551"/>
      <c r="J2" s="409" t="s">
        <v>102</v>
      </c>
      <c r="K2" s="590" t="s">
        <v>133</v>
      </c>
      <c r="L2" s="591"/>
      <c r="P2" s="416">
        <v>45091</v>
      </c>
      <c r="R2" s="416">
        <f>P2+720</f>
        <v>45811</v>
      </c>
    </row>
    <row r="3" spans="1:21" s="383" customFormat="1" ht="28.5" customHeight="1" thickBot="1" x14ac:dyDescent="0.3">
      <c r="A3" s="385"/>
      <c r="B3" s="545" t="s">
        <v>1111</v>
      </c>
      <c r="C3" s="545"/>
      <c r="D3" s="545"/>
      <c r="E3" s="545"/>
      <c r="F3" s="546"/>
      <c r="G3" s="417" t="s">
        <v>1108</v>
      </c>
      <c r="H3" s="552">
        <v>46114</v>
      </c>
      <c r="I3" s="553"/>
      <c r="J3" s="410" t="s">
        <v>1109</v>
      </c>
      <c r="K3" s="554" t="s">
        <v>1110</v>
      </c>
      <c r="L3" s="555"/>
      <c r="N3" s="383">
        <f>9.5+1.5+2.4+2.53+0.56+0.39+4.14+4.14+3.29</f>
        <v>28.45</v>
      </c>
      <c r="P3" s="415" t="s">
        <v>916</v>
      </c>
      <c r="R3" s="383" t="s">
        <v>917</v>
      </c>
      <c r="U3" s="383">
        <v>540</v>
      </c>
    </row>
    <row r="4" spans="1:21" s="383" customFormat="1" ht="54" customHeight="1" x14ac:dyDescent="0.25">
      <c r="A4" s="568" t="s">
        <v>308</v>
      </c>
      <c r="B4" s="569"/>
      <c r="C4" s="569"/>
      <c r="D4" s="569"/>
      <c r="E4" s="569"/>
      <c r="F4" s="570"/>
      <c r="G4" s="571" t="s">
        <v>103</v>
      </c>
      <c r="H4" s="572"/>
      <c r="I4" s="572"/>
      <c r="J4" s="572"/>
      <c r="K4" s="572"/>
      <c r="L4" s="573"/>
      <c r="N4" s="383">
        <f>3.29+3.01+3.08</f>
        <v>9.379999999999999</v>
      </c>
      <c r="P4" s="416"/>
    </row>
    <row r="5" spans="1:21" ht="17.25" customHeight="1" x14ac:dyDescent="0.2">
      <c r="A5" s="563" t="s">
        <v>301</v>
      </c>
      <c r="B5" s="564"/>
      <c r="C5" s="565"/>
      <c r="D5" s="566" t="s">
        <v>302</v>
      </c>
      <c r="E5" s="567"/>
      <c r="F5" s="477">
        <v>5031923.6500000004</v>
      </c>
      <c r="G5" s="574" t="s">
        <v>105</v>
      </c>
      <c r="H5" s="575"/>
      <c r="I5" s="576"/>
      <c r="J5" s="580" t="s">
        <v>106</v>
      </c>
      <c r="K5" s="575"/>
      <c r="L5" s="576"/>
      <c r="P5" s="386" t="s">
        <v>920</v>
      </c>
      <c r="R5" s="418">
        <v>45078</v>
      </c>
    </row>
    <row r="6" spans="1:21" ht="18.75" customHeight="1" x14ac:dyDescent="0.2">
      <c r="A6" s="563" t="s">
        <v>303</v>
      </c>
      <c r="B6" s="564"/>
      <c r="C6" s="564"/>
      <c r="D6" s="564"/>
      <c r="E6" s="564"/>
      <c r="F6" s="564"/>
      <c r="G6" s="577"/>
      <c r="H6" s="578"/>
      <c r="I6" s="579"/>
      <c r="J6" s="581"/>
      <c r="K6" s="578"/>
      <c r="L6" s="579"/>
      <c r="N6" s="386">
        <f>2.51+1.69+3.31+1.46</f>
        <v>8.9699999999999989</v>
      </c>
    </row>
    <row r="7" spans="1:21" s="393" customFormat="1" ht="31.5" x14ac:dyDescent="0.25">
      <c r="A7" s="387" t="s">
        <v>107</v>
      </c>
      <c r="B7" s="388" t="s">
        <v>108</v>
      </c>
      <c r="C7" s="388" t="s">
        <v>109</v>
      </c>
      <c r="D7" s="389" t="s">
        <v>110</v>
      </c>
      <c r="E7" s="389" t="s">
        <v>111</v>
      </c>
      <c r="F7" s="391" t="s">
        <v>112</v>
      </c>
      <c r="G7" s="481" t="s">
        <v>113</v>
      </c>
      <c r="H7" s="389" t="s">
        <v>114</v>
      </c>
      <c r="I7" s="391" t="s">
        <v>79</v>
      </c>
      <c r="J7" s="390" t="s">
        <v>113</v>
      </c>
      <c r="K7" s="389" t="s">
        <v>114</v>
      </c>
      <c r="L7" s="392" t="s">
        <v>79</v>
      </c>
      <c r="N7" s="393">
        <f>2.49+4.21+3.24+3.08+1</f>
        <v>14.020000000000001</v>
      </c>
      <c r="P7" s="415" t="s">
        <v>918</v>
      </c>
      <c r="R7" s="418">
        <f>R5+1</f>
        <v>45079</v>
      </c>
      <c r="T7" s="419">
        <f>R7+720</f>
        <v>45799</v>
      </c>
      <c r="U7" s="393" t="s">
        <v>114</v>
      </c>
    </row>
    <row r="8" spans="1:21" ht="15.75" x14ac:dyDescent="0.2">
      <c r="A8" s="394"/>
      <c r="B8" s="395"/>
      <c r="C8" s="396"/>
      <c r="D8" s="397"/>
      <c r="E8" s="397"/>
      <c r="F8" s="399"/>
      <c r="G8" s="482"/>
      <c r="H8" s="397"/>
      <c r="I8" s="400"/>
      <c r="J8" s="398"/>
      <c r="K8" s="397"/>
      <c r="L8" s="401"/>
    </row>
    <row r="9" spans="1:21" ht="15.75" x14ac:dyDescent="0.2">
      <c r="A9" s="421" t="s">
        <v>948</v>
      </c>
      <c r="B9" s="422" t="s">
        <v>949</v>
      </c>
      <c r="C9" s="423"/>
      <c r="D9" s="424"/>
      <c r="E9" s="424"/>
      <c r="F9" s="427"/>
      <c r="G9" s="440" t="e">
        <f>#REF!+#REF!</f>
        <v>#REF!</v>
      </c>
      <c r="H9" s="424" t="e">
        <f>G9*E9</f>
        <v>#REF!</v>
      </c>
      <c r="I9" s="431">
        <f t="shared" ref="I9:I47" si="0">IF(F9=0,0,H9/F9)</f>
        <v>0</v>
      </c>
      <c r="J9" s="430" t="e">
        <f t="shared" ref="J9:J15" si="1">D9-G9</f>
        <v>#REF!</v>
      </c>
      <c r="K9" s="424" t="e">
        <f>J9*E9</f>
        <v>#REF!</v>
      </c>
      <c r="L9" s="431">
        <f t="shared" ref="L9:L47" si="2">IF(F9=0,0,K9/F9)</f>
        <v>0</v>
      </c>
      <c r="P9" s="386" t="s">
        <v>919</v>
      </c>
      <c r="R9" s="418">
        <v>45641</v>
      </c>
    </row>
    <row r="10" spans="1:21" ht="31.5" x14ac:dyDescent="0.2">
      <c r="A10" s="414" t="s">
        <v>309</v>
      </c>
      <c r="B10" s="432" t="s">
        <v>310</v>
      </c>
      <c r="C10" s="433" t="s">
        <v>35</v>
      </c>
      <c r="D10" s="433">
        <v>798.56</v>
      </c>
      <c r="E10" s="433">
        <v>10.49</v>
      </c>
      <c r="F10" s="490">
        <f>ROUND((E10*D10),2)</f>
        <v>8376.89</v>
      </c>
      <c r="G10" s="483">
        <v>798.56</v>
      </c>
      <c r="H10" s="433">
        <v>8376.8959999999988</v>
      </c>
      <c r="I10" s="435">
        <f t="shared" si="0"/>
        <v>1.0000007162562716</v>
      </c>
      <c r="J10" s="433">
        <f t="shared" si="1"/>
        <v>0</v>
      </c>
      <c r="K10" s="433">
        <f t="shared" ref="K10:K47" si="3">ROUND((J10*E10),2)</f>
        <v>0</v>
      </c>
      <c r="L10" s="435">
        <f t="shared" si="2"/>
        <v>0</v>
      </c>
      <c r="M10" s="420" t="s">
        <v>915</v>
      </c>
      <c r="N10" s="420">
        <f>20+4.13+9.15+12.67+7.8+3</f>
        <v>56.75</v>
      </c>
      <c r="O10" s="420">
        <f>K10-N10</f>
        <v>-56.75</v>
      </c>
      <c r="P10" s="420" t="e">
        <f>N10-#REF!</f>
        <v>#REF!</v>
      </c>
      <c r="R10" s="420"/>
    </row>
    <row r="11" spans="1:21" s="402" customFormat="1" ht="15.75" x14ac:dyDescent="0.2">
      <c r="A11" s="414" t="s">
        <v>311</v>
      </c>
      <c r="B11" s="432" t="s">
        <v>312</v>
      </c>
      <c r="C11" s="433" t="s">
        <v>35</v>
      </c>
      <c r="D11" s="433">
        <v>12.18</v>
      </c>
      <c r="E11" s="433">
        <v>16.79</v>
      </c>
      <c r="F11" s="490">
        <f t="shared" ref="F11:F53" si="4">ROUND((E11*D11),2)</f>
        <v>204.5</v>
      </c>
      <c r="G11" s="483">
        <v>12.180000000000001</v>
      </c>
      <c r="H11" s="433">
        <v>204.49779999999998</v>
      </c>
      <c r="I11" s="435">
        <f t="shared" si="0"/>
        <v>0.9999892420537897</v>
      </c>
      <c r="J11" s="433">
        <f t="shared" si="1"/>
        <v>0</v>
      </c>
      <c r="K11" s="433">
        <f t="shared" si="3"/>
        <v>0</v>
      </c>
      <c r="L11" s="435">
        <f t="shared" si="2"/>
        <v>0</v>
      </c>
      <c r="M11" s="420"/>
      <c r="N11" s="420">
        <f>N10*1.1</f>
        <v>62.425000000000004</v>
      </c>
      <c r="O11" s="420">
        <f t="shared" ref="O11:O74" si="5">K11-N11</f>
        <v>-62.425000000000004</v>
      </c>
      <c r="P11" s="420" t="e">
        <f>N11-#REF!</f>
        <v>#REF!</v>
      </c>
      <c r="R11" s="420"/>
      <c r="U11" s="402">
        <v>0</v>
      </c>
    </row>
    <row r="12" spans="1:21" ht="15.75" x14ac:dyDescent="0.2">
      <c r="A12" s="414" t="s">
        <v>313</v>
      </c>
      <c r="B12" s="432" t="s">
        <v>314</v>
      </c>
      <c r="C12" s="433" t="s">
        <v>35</v>
      </c>
      <c r="D12" s="433">
        <v>40.059999999999995</v>
      </c>
      <c r="E12" s="433">
        <v>10.49</v>
      </c>
      <c r="F12" s="490">
        <f t="shared" si="4"/>
        <v>420.23</v>
      </c>
      <c r="G12" s="483">
        <v>40.06</v>
      </c>
      <c r="H12" s="433">
        <v>420.22899999999993</v>
      </c>
      <c r="I12" s="435">
        <f t="shared" si="0"/>
        <v>0.99999762035076012</v>
      </c>
      <c r="J12" s="433">
        <f t="shared" si="1"/>
        <v>0</v>
      </c>
      <c r="K12" s="433">
        <f t="shared" si="3"/>
        <v>0</v>
      </c>
      <c r="L12" s="435">
        <f t="shared" si="2"/>
        <v>0</v>
      </c>
      <c r="M12" s="420"/>
      <c r="N12" s="420"/>
      <c r="O12" s="420">
        <f t="shared" si="5"/>
        <v>0</v>
      </c>
      <c r="P12" s="420" t="e">
        <f>N12-#REF!</f>
        <v>#REF!</v>
      </c>
      <c r="R12" s="420"/>
      <c r="U12" s="386">
        <v>0</v>
      </c>
    </row>
    <row r="13" spans="1:21" s="402" customFormat="1" ht="63" x14ac:dyDescent="0.2">
      <c r="A13" s="414" t="s">
        <v>315</v>
      </c>
      <c r="B13" s="432" t="s">
        <v>316</v>
      </c>
      <c r="C13" s="433" t="s">
        <v>35</v>
      </c>
      <c r="D13" s="433">
        <v>532.38</v>
      </c>
      <c r="E13" s="433">
        <v>4.01</v>
      </c>
      <c r="F13" s="490">
        <f t="shared" si="4"/>
        <v>2134.84</v>
      </c>
      <c r="G13" s="483">
        <v>532.38</v>
      </c>
      <c r="H13" s="433">
        <v>2134.8438000000001</v>
      </c>
      <c r="I13" s="435">
        <f t="shared" si="0"/>
        <v>1.00000177999288</v>
      </c>
      <c r="J13" s="433">
        <f t="shared" si="1"/>
        <v>0</v>
      </c>
      <c r="K13" s="433">
        <f t="shared" si="3"/>
        <v>0</v>
      </c>
      <c r="L13" s="435">
        <f t="shared" si="2"/>
        <v>0</v>
      </c>
      <c r="M13" s="420"/>
      <c r="N13" s="420"/>
      <c r="O13" s="420">
        <f t="shared" si="5"/>
        <v>0</v>
      </c>
      <c r="P13" s="420" t="e">
        <f>N13-#REF!</f>
        <v>#REF!</v>
      </c>
      <c r="R13" s="420"/>
      <c r="U13" s="402">
        <v>1348.5629999999999</v>
      </c>
    </row>
    <row r="14" spans="1:21" ht="31.5" x14ac:dyDescent="0.2">
      <c r="A14" s="414" t="s">
        <v>317</v>
      </c>
      <c r="B14" s="432" t="s">
        <v>318</v>
      </c>
      <c r="C14" s="433" t="s">
        <v>35</v>
      </c>
      <c r="D14" s="433">
        <v>598</v>
      </c>
      <c r="E14" s="433">
        <v>8</v>
      </c>
      <c r="F14" s="490">
        <f t="shared" si="4"/>
        <v>4784</v>
      </c>
      <c r="G14" s="483">
        <v>598</v>
      </c>
      <c r="H14" s="433">
        <v>4784</v>
      </c>
      <c r="I14" s="435">
        <f t="shared" si="0"/>
        <v>1</v>
      </c>
      <c r="J14" s="433">
        <f t="shared" si="1"/>
        <v>0</v>
      </c>
      <c r="K14" s="433">
        <f t="shared" si="3"/>
        <v>0</v>
      </c>
      <c r="L14" s="435">
        <f t="shared" si="2"/>
        <v>0</v>
      </c>
      <c r="M14" s="420"/>
      <c r="N14" s="420"/>
      <c r="O14" s="420">
        <f t="shared" si="5"/>
        <v>0</v>
      </c>
      <c r="P14" s="420" t="e">
        <f>N14-#REF!</f>
        <v>#REF!</v>
      </c>
      <c r="R14" s="420"/>
      <c r="U14" s="386">
        <v>0</v>
      </c>
    </row>
    <row r="15" spans="1:21" s="402" customFormat="1" ht="15.75" x14ac:dyDescent="0.2">
      <c r="A15" s="414" t="s">
        <v>319</v>
      </c>
      <c r="B15" s="432" t="s">
        <v>320</v>
      </c>
      <c r="C15" s="433" t="s">
        <v>35</v>
      </c>
      <c r="D15" s="433">
        <v>598</v>
      </c>
      <c r="E15" s="433">
        <v>30.56</v>
      </c>
      <c r="F15" s="490">
        <f t="shared" si="4"/>
        <v>18274.88</v>
      </c>
      <c r="G15" s="483">
        <v>598</v>
      </c>
      <c r="H15" s="433">
        <v>18274.879999999997</v>
      </c>
      <c r="I15" s="435">
        <f t="shared" si="0"/>
        <v>0.99999999999999978</v>
      </c>
      <c r="J15" s="433">
        <f t="shared" si="1"/>
        <v>0</v>
      </c>
      <c r="K15" s="433">
        <f t="shared" si="3"/>
        <v>0</v>
      </c>
      <c r="L15" s="435">
        <f t="shared" si="2"/>
        <v>0</v>
      </c>
      <c r="M15" s="420"/>
      <c r="N15" s="420"/>
      <c r="O15" s="420">
        <f t="shared" si="5"/>
        <v>0</v>
      </c>
      <c r="P15" s="420" t="e">
        <f>N15-#REF!</f>
        <v>#REF!</v>
      </c>
      <c r="R15" s="420"/>
      <c r="U15" s="402">
        <v>0</v>
      </c>
    </row>
    <row r="16" spans="1:21" s="402" customFormat="1" ht="15.75" x14ac:dyDescent="0.2">
      <c r="A16" s="414" t="s">
        <v>321</v>
      </c>
      <c r="B16" s="432" t="s">
        <v>322</v>
      </c>
      <c r="C16" s="433" t="s">
        <v>35</v>
      </c>
      <c r="D16" s="433">
        <v>348.47499999999997</v>
      </c>
      <c r="E16" s="433">
        <v>18.489999999999998</v>
      </c>
      <c r="F16" s="490">
        <f t="shared" si="4"/>
        <v>6443.3</v>
      </c>
      <c r="G16" s="483">
        <v>348.47480000000002</v>
      </c>
      <c r="H16" s="433">
        <v>6443.2990519999994</v>
      </c>
      <c r="I16" s="435">
        <f t="shared" si="0"/>
        <v>0.99999985287042337</v>
      </c>
      <c r="J16" s="433"/>
      <c r="K16" s="433">
        <f t="shared" si="3"/>
        <v>0</v>
      </c>
      <c r="L16" s="435">
        <f t="shared" si="2"/>
        <v>0</v>
      </c>
      <c r="M16" s="420"/>
      <c r="N16" s="420"/>
      <c r="O16" s="420">
        <f t="shared" si="5"/>
        <v>0</v>
      </c>
      <c r="P16" s="420" t="e">
        <f>N16-#REF!</f>
        <v>#REF!</v>
      </c>
      <c r="R16" s="420"/>
      <c r="U16" s="402">
        <v>0</v>
      </c>
    </row>
    <row r="17" spans="1:21" s="402" customFormat="1" ht="15.75" x14ac:dyDescent="0.2">
      <c r="A17" s="414" t="s">
        <v>323</v>
      </c>
      <c r="B17" s="432" t="s">
        <v>324</v>
      </c>
      <c r="C17" s="433" t="s">
        <v>23</v>
      </c>
      <c r="D17" s="433">
        <v>70</v>
      </c>
      <c r="E17" s="433">
        <v>27.26</v>
      </c>
      <c r="F17" s="490">
        <f t="shared" si="4"/>
        <v>1908.2</v>
      </c>
      <c r="G17" s="483">
        <v>70</v>
      </c>
      <c r="H17" s="433">
        <v>1908.2</v>
      </c>
      <c r="I17" s="435">
        <f t="shared" si="0"/>
        <v>1</v>
      </c>
      <c r="J17" s="433">
        <f t="shared" ref="J17:J47" si="6">D17-G17</f>
        <v>0</v>
      </c>
      <c r="K17" s="433">
        <f t="shared" si="3"/>
        <v>0</v>
      </c>
      <c r="L17" s="435">
        <f t="shared" si="2"/>
        <v>0</v>
      </c>
      <c r="M17" s="420"/>
      <c r="N17" s="420"/>
      <c r="O17" s="420">
        <f t="shared" si="5"/>
        <v>0</v>
      </c>
      <c r="P17" s="420" t="e">
        <f>N17-#REF!</f>
        <v>#REF!</v>
      </c>
      <c r="R17" s="420"/>
      <c r="U17" s="402">
        <v>0</v>
      </c>
    </row>
    <row r="18" spans="1:21" s="402" customFormat="1" ht="15.75" x14ac:dyDescent="0.2">
      <c r="A18" s="414" t="s">
        <v>325</v>
      </c>
      <c r="B18" s="432" t="s">
        <v>326</v>
      </c>
      <c r="C18" s="433" t="s">
        <v>35</v>
      </c>
      <c r="D18" s="433">
        <v>16.5</v>
      </c>
      <c r="E18" s="433">
        <v>18.489999999999998</v>
      </c>
      <c r="F18" s="490">
        <f t="shared" si="4"/>
        <v>305.08999999999997</v>
      </c>
      <c r="G18" s="483">
        <v>16.5</v>
      </c>
      <c r="H18" s="433">
        <v>305.08499999999998</v>
      </c>
      <c r="I18" s="435">
        <f t="shared" si="0"/>
        <v>0.99998361139335934</v>
      </c>
      <c r="J18" s="433">
        <f t="shared" si="6"/>
        <v>0</v>
      </c>
      <c r="K18" s="433">
        <f t="shared" si="3"/>
        <v>0</v>
      </c>
      <c r="L18" s="435">
        <f t="shared" si="2"/>
        <v>0</v>
      </c>
      <c r="M18" s="420"/>
      <c r="N18" s="420"/>
      <c r="O18" s="420">
        <f t="shared" si="5"/>
        <v>0</v>
      </c>
      <c r="P18" s="420" t="e">
        <f>N18-#REF!</f>
        <v>#REF!</v>
      </c>
      <c r="R18" s="420"/>
      <c r="U18" s="402">
        <v>0</v>
      </c>
    </row>
    <row r="19" spans="1:21" s="402" customFormat="1" ht="15.75" x14ac:dyDescent="0.2">
      <c r="A19" s="414" t="s">
        <v>327</v>
      </c>
      <c r="B19" s="432" t="s">
        <v>328</v>
      </c>
      <c r="C19" s="433" t="s">
        <v>35</v>
      </c>
      <c r="D19" s="433">
        <v>65.5</v>
      </c>
      <c r="E19" s="433">
        <v>1.83</v>
      </c>
      <c r="F19" s="490">
        <f t="shared" si="4"/>
        <v>119.87</v>
      </c>
      <c r="G19" s="483">
        <v>65.5</v>
      </c>
      <c r="H19" s="433">
        <v>119.86500000000001</v>
      </c>
      <c r="I19" s="435">
        <f t="shared" si="0"/>
        <v>0.99995828814549104</v>
      </c>
      <c r="J19" s="433">
        <f t="shared" si="6"/>
        <v>0</v>
      </c>
      <c r="K19" s="433">
        <f t="shared" si="3"/>
        <v>0</v>
      </c>
      <c r="L19" s="435">
        <f t="shared" si="2"/>
        <v>0</v>
      </c>
      <c r="M19" s="420"/>
      <c r="N19" s="420"/>
      <c r="O19" s="420">
        <f t="shared" si="5"/>
        <v>0</v>
      </c>
      <c r="P19" s="420" t="e">
        <f>N19-#REF!</f>
        <v>#REF!</v>
      </c>
      <c r="R19" s="420"/>
      <c r="U19" s="402">
        <v>0</v>
      </c>
    </row>
    <row r="20" spans="1:21" s="402" customFormat="1" ht="15.75" x14ac:dyDescent="0.2">
      <c r="A20" s="414" t="s">
        <v>329</v>
      </c>
      <c r="B20" s="432" t="s">
        <v>330</v>
      </c>
      <c r="C20" s="433" t="s">
        <v>23</v>
      </c>
      <c r="D20" s="433">
        <v>19</v>
      </c>
      <c r="E20" s="433">
        <v>22.96</v>
      </c>
      <c r="F20" s="490">
        <f t="shared" si="4"/>
        <v>436.24</v>
      </c>
      <c r="G20" s="483">
        <v>19</v>
      </c>
      <c r="H20" s="433">
        <v>436.23999999999995</v>
      </c>
      <c r="I20" s="435">
        <f t="shared" si="0"/>
        <v>0.99999999999999989</v>
      </c>
      <c r="J20" s="433">
        <f t="shared" si="6"/>
        <v>0</v>
      </c>
      <c r="K20" s="433">
        <f t="shared" si="3"/>
        <v>0</v>
      </c>
      <c r="L20" s="435">
        <f t="shared" si="2"/>
        <v>0</v>
      </c>
      <c r="M20" s="420"/>
      <c r="N20" s="420"/>
      <c r="O20" s="420">
        <f t="shared" si="5"/>
        <v>0</v>
      </c>
      <c r="P20" s="420" t="e">
        <f>N20-#REF!</f>
        <v>#REF!</v>
      </c>
      <c r="R20" s="420"/>
      <c r="U20" s="402">
        <v>91.84</v>
      </c>
    </row>
    <row r="21" spans="1:21" s="413" customFormat="1" ht="63" x14ac:dyDescent="0.2">
      <c r="A21" s="414" t="s">
        <v>331</v>
      </c>
      <c r="B21" s="432" t="s">
        <v>332</v>
      </c>
      <c r="C21" s="433" t="s">
        <v>333</v>
      </c>
      <c r="D21" s="433">
        <v>1</v>
      </c>
      <c r="E21" s="433">
        <v>2723.92</v>
      </c>
      <c r="F21" s="490">
        <f t="shared" si="4"/>
        <v>2723.92</v>
      </c>
      <c r="G21" s="483">
        <v>1</v>
      </c>
      <c r="H21" s="433">
        <v>2723.92</v>
      </c>
      <c r="I21" s="435">
        <f t="shared" si="0"/>
        <v>1</v>
      </c>
      <c r="J21" s="433">
        <f t="shared" si="6"/>
        <v>0</v>
      </c>
      <c r="K21" s="433">
        <f t="shared" si="3"/>
        <v>0</v>
      </c>
      <c r="L21" s="435">
        <f t="shared" si="2"/>
        <v>0</v>
      </c>
      <c r="M21" s="420"/>
      <c r="N21" s="420"/>
      <c r="O21" s="420">
        <f t="shared" si="5"/>
        <v>0</v>
      </c>
      <c r="P21" s="420" t="e">
        <f>N21-#REF!</f>
        <v>#REF!</v>
      </c>
      <c r="R21" s="420"/>
      <c r="U21" s="413">
        <v>0</v>
      </c>
    </row>
    <row r="22" spans="1:21" ht="63" x14ac:dyDescent="0.2">
      <c r="A22" s="414" t="s">
        <v>334</v>
      </c>
      <c r="B22" s="432" t="s">
        <v>335</v>
      </c>
      <c r="C22" s="433" t="s">
        <v>333</v>
      </c>
      <c r="D22" s="433">
        <v>1</v>
      </c>
      <c r="E22" s="433">
        <v>1575.82</v>
      </c>
      <c r="F22" s="490">
        <f t="shared" si="4"/>
        <v>1575.82</v>
      </c>
      <c r="G22" s="483">
        <v>1</v>
      </c>
      <c r="H22" s="433">
        <v>1575.82</v>
      </c>
      <c r="I22" s="435">
        <f t="shared" si="0"/>
        <v>1</v>
      </c>
      <c r="J22" s="433">
        <f t="shared" si="6"/>
        <v>0</v>
      </c>
      <c r="K22" s="433">
        <f t="shared" si="3"/>
        <v>0</v>
      </c>
      <c r="L22" s="435">
        <f t="shared" si="2"/>
        <v>0</v>
      </c>
      <c r="M22" s="420"/>
      <c r="N22" s="420"/>
      <c r="O22" s="420">
        <f t="shared" si="5"/>
        <v>0</v>
      </c>
      <c r="P22" s="420" t="e">
        <f>N22-#REF!</f>
        <v>#REF!</v>
      </c>
      <c r="R22" s="420"/>
      <c r="U22" s="386">
        <v>0</v>
      </c>
    </row>
    <row r="23" spans="1:21" s="402" customFormat="1" ht="31.5" x14ac:dyDescent="0.2">
      <c r="A23" s="414" t="s">
        <v>336</v>
      </c>
      <c r="B23" s="432" t="s">
        <v>337</v>
      </c>
      <c r="C23" s="433" t="s">
        <v>23</v>
      </c>
      <c r="D23" s="433">
        <v>2</v>
      </c>
      <c r="E23" s="433">
        <v>298.31</v>
      </c>
      <c r="F23" s="490">
        <f t="shared" si="4"/>
        <v>596.62</v>
      </c>
      <c r="G23" s="483">
        <v>2</v>
      </c>
      <c r="H23" s="433">
        <v>596.62</v>
      </c>
      <c r="I23" s="435">
        <f t="shared" si="0"/>
        <v>1</v>
      </c>
      <c r="J23" s="433">
        <f t="shared" si="6"/>
        <v>0</v>
      </c>
      <c r="K23" s="433">
        <f t="shared" si="3"/>
        <v>0</v>
      </c>
      <c r="L23" s="435">
        <f t="shared" si="2"/>
        <v>0</v>
      </c>
      <c r="M23" s="420"/>
      <c r="N23" s="420"/>
      <c r="O23" s="420">
        <f t="shared" si="5"/>
        <v>0</v>
      </c>
      <c r="P23" s="420" t="e">
        <f>N23-#REF!</f>
        <v>#REF!</v>
      </c>
      <c r="R23" s="420"/>
      <c r="U23" s="402">
        <v>0</v>
      </c>
    </row>
    <row r="24" spans="1:21" s="402" customFormat="1" ht="15.75" x14ac:dyDescent="0.2">
      <c r="A24" s="414" t="s">
        <v>338</v>
      </c>
      <c r="B24" s="432" t="s">
        <v>339</v>
      </c>
      <c r="C24" s="433" t="s">
        <v>340</v>
      </c>
      <c r="D24" s="433">
        <v>6.58</v>
      </c>
      <c r="E24" s="433">
        <v>346.63</v>
      </c>
      <c r="F24" s="490">
        <f t="shared" si="4"/>
        <v>2280.83</v>
      </c>
      <c r="G24" s="483">
        <v>6.58</v>
      </c>
      <c r="H24" s="433">
        <v>2280.8266999999996</v>
      </c>
      <c r="I24" s="435">
        <f t="shared" si="0"/>
        <v>0.99999855315828001</v>
      </c>
      <c r="J24" s="433">
        <f t="shared" si="6"/>
        <v>0</v>
      </c>
      <c r="K24" s="433">
        <f t="shared" si="3"/>
        <v>0</v>
      </c>
      <c r="L24" s="435">
        <f t="shared" si="2"/>
        <v>0</v>
      </c>
      <c r="M24" s="420"/>
      <c r="N24" s="420"/>
      <c r="O24" s="420">
        <f t="shared" si="5"/>
        <v>0</v>
      </c>
      <c r="P24" s="420" t="e">
        <f>N24-#REF!</f>
        <v>#REF!</v>
      </c>
      <c r="R24" s="420"/>
      <c r="U24" s="402">
        <v>0</v>
      </c>
    </row>
    <row r="25" spans="1:21" s="402" customFormat="1" ht="15.75" x14ac:dyDescent="0.2">
      <c r="A25" s="414" t="s">
        <v>341</v>
      </c>
      <c r="B25" s="432" t="s">
        <v>342</v>
      </c>
      <c r="C25" s="433" t="s">
        <v>340</v>
      </c>
      <c r="D25" s="433">
        <v>49.11</v>
      </c>
      <c r="E25" s="433">
        <v>62.96</v>
      </c>
      <c r="F25" s="490">
        <f t="shared" si="4"/>
        <v>3091.97</v>
      </c>
      <c r="G25" s="483">
        <v>49.11</v>
      </c>
      <c r="H25" s="433">
        <v>3091.9583999999995</v>
      </c>
      <c r="I25" s="435">
        <f t="shared" si="0"/>
        <v>0.99999624834652334</v>
      </c>
      <c r="J25" s="433">
        <f t="shared" si="6"/>
        <v>0</v>
      </c>
      <c r="K25" s="433">
        <f t="shared" si="3"/>
        <v>0</v>
      </c>
      <c r="L25" s="435">
        <f t="shared" si="2"/>
        <v>0</v>
      </c>
      <c r="M25" s="420"/>
      <c r="N25" s="420"/>
      <c r="O25" s="420">
        <f t="shared" si="5"/>
        <v>0</v>
      </c>
      <c r="P25" s="420" t="e">
        <f>N25-#REF!</f>
        <v>#REF!</v>
      </c>
      <c r="R25" s="420"/>
      <c r="U25" s="402">
        <v>0</v>
      </c>
    </row>
    <row r="26" spans="1:21" s="402" customFormat="1" ht="15.75" x14ac:dyDescent="0.2">
      <c r="A26" s="414" t="s">
        <v>343</v>
      </c>
      <c r="B26" s="432" t="s">
        <v>344</v>
      </c>
      <c r="C26" s="433" t="s">
        <v>35</v>
      </c>
      <c r="D26" s="433">
        <v>43.23</v>
      </c>
      <c r="E26" s="433">
        <v>14.69</v>
      </c>
      <c r="F26" s="490">
        <f t="shared" si="4"/>
        <v>635.04999999999995</v>
      </c>
      <c r="G26" s="483">
        <v>43.23</v>
      </c>
      <c r="H26" s="433">
        <v>635.05129999999986</v>
      </c>
      <c r="I26" s="435">
        <f t="shared" si="0"/>
        <v>1.0000020470829067</v>
      </c>
      <c r="J26" s="433">
        <f t="shared" si="6"/>
        <v>0</v>
      </c>
      <c r="K26" s="433">
        <f t="shared" si="3"/>
        <v>0</v>
      </c>
      <c r="L26" s="435">
        <f t="shared" si="2"/>
        <v>0</v>
      </c>
      <c r="M26" s="420"/>
      <c r="N26" s="420"/>
      <c r="O26" s="420">
        <f t="shared" si="5"/>
        <v>0</v>
      </c>
      <c r="P26" s="420" t="e">
        <f>N26-#REF!</f>
        <v>#REF!</v>
      </c>
      <c r="R26" s="420"/>
      <c r="U26" s="402">
        <v>0</v>
      </c>
    </row>
    <row r="27" spans="1:21" s="402" customFormat="1" ht="15.75" x14ac:dyDescent="0.2">
      <c r="A27" s="414" t="s">
        <v>345</v>
      </c>
      <c r="B27" s="432" t="s">
        <v>346</v>
      </c>
      <c r="C27" s="433" t="s">
        <v>35</v>
      </c>
      <c r="D27" s="433">
        <v>495.78</v>
      </c>
      <c r="E27" s="433">
        <v>52.46</v>
      </c>
      <c r="F27" s="490">
        <f t="shared" si="4"/>
        <v>26008.62</v>
      </c>
      <c r="G27" s="483">
        <v>495.78</v>
      </c>
      <c r="H27" s="433">
        <v>26008.622800000001</v>
      </c>
      <c r="I27" s="435">
        <f t="shared" si="0"/>
        <v>1.0000001076566154</v>
      </c>
      <c r="J27" s="433">
        <f t="shared" si="6"/>
        <v>0</v>
      </c>
      <c r="K27" s="433">
        <f t="shared" si="3"/>
        <v>0</v>
      </c>
      <c r="L27" s="435">
        <f t="shared" si="2"/>
        <v>0</v>
      </c>
      <c r="M27" s="420"/>
      <c r="N27" s="420"/>
      <c r="O27" s="420">
        <f t="shared" si="5"/>
        <v>0</v>
      </c>
      <c r="P27" s="420" t="e">
        <f>N27-#REF!</f>
        <v>#REF!</v>
      </c>
      <c r="R27" s="420"/>
      <c r="U27" s="402">
        <v>0</v>
      </c>
    </row>
    <row r="28" spans="1:21" s="413" customFormat="1" ht="15.75" x14ac:dyDescent="0.2">
      <c r="A28" s="414" t="s">
        <v>347</v>
      </c>
      <c r="B28" s="432" t="s">
        <v>348</v>
      </c>
      <c r="C28" s="433" t="s">
        <v>340</v>
      </c>
      <c r="D28" s="433">
        <v>1.55</v>
      </c>
      <c r="E28" s="433">
        <v>295.89</v>
      </c>
      <c r="F28" s="490">
        <f t="shared" si="4"/>
        <v>458.63</v>
      </c>
      <c r="G28" s="483">
        <v>1.55</v>
      </c>
      <c r="H28" s="433">
        <v>458.62949999999995</v>
      </c>
      <c r="I28" s="435">
        <f t="shared" si="0"/>
        <v>0.99999890979656791</v>
      </c>
      <c r="J28" s="433">
        <f t="shared" si="6"/>
        <v>0</v>
      </c>
      <c r="K28" s="433">
        <f t="shared" si="3"/>
        <v>0</v>
      </c>
      <c r="L28" s="435">
        <f t="shared" si="2"/>
        <v>0</v>
      </c>
      <c r="M28" s="420"/>
      <c r="N28" s="420"/>
      <c r="O28" s="420">
        <f t="shared" si="5"/>
        <v>0</v>
      </c>
      <c r="P28" s="420" t="e">
        <f>N28-#REF!</f>
        <v>#REF!</v>
      </c>
      <c r="R28" s="420"/>
      <c r="U28" s="413">
        <v>0</v>
      </c>
    </row>
    <row r="29" spans="1:21" s="402" customFormat="1" ht="31.5" x14ac:dyDescent="0.2">
      <c r="A29" s="414" t="s">
        <v>349</v>
      </c>
      <c r="B29" s="432" t="s">
        <v>350</v>
      </c>
      <c r="C29" s="433" t="s">
        <v>340</v>
      </c>
      <c r="D29" s="433">
        <v>9.9600000000000009</v>
      </c>
      <c r="E29" s="433">
        <v>973.18</v>
      </c>
      <c r="F29" s="490">
        <f t="shared" si="4"/>
        <v>9692.8700000000008</v>
      </c>
      <c r="G29" s="483">
        <v>9.9600000000000009</v>
      </c>
      <c r="H29" s="433">
        <v>9692.872800000001</v>
      </c>
      <c r="I29" s="435">
        <f t="shared" si="0"/>
        <v>1.0000002888721298</v>
      </c>
      <c r="J29" s="433">
        <f t="shared" si="6"/>
        <v>0</v>
      </c>
      <c r="K29" s="433">
        <f t="shared" si="3"/>
        <v>0</v>
      </c>
      <c r="L29" s="435">
        <f t="shared" si="2"/>
        <v>0</v>
      </c>
      <c r="M29" s="420"/>
      <c r="N29" s="420"/>
      <c r="O29" s="420">
        <f t="shared" si="5"/>
        <v>0</v>
      </c>
      <c r="P29" s="420" t="e">
        <f>N29-#REF!</f>
        <v>#REF!</v>
      </c>
      <c r="R29" s="420"/>
      <c r="U29" s="402">
        <v>0</v>
      </c>
    </row>
    <row r="30" spans="1:21" ht="15.75" x14ac:dyDescent="0.2">
      <c r="A30" s="414" t="s">
        <v>351</v>
      </c>
      <c r="B30" s="432" t="s">
        <v>352</v>
      </c>
      <c r="C30" s="433" t="s">
        <v>35</v>
      </c>
      <c r="D30" s="433">
        <v>178</v>
      </c>
      <c r="E30" s="433">
        <v>10.49</v>
      </c>
      <c r="F30" s="490">
        <f t="shared" si="4"/>
        <v>1867.22</v>
      </c>
      <c r="G30" s="483">
        <v>178</v>
      </c>
      <c r="H30" s="433">
        <v>1867.2200000000003</v>
      </c>
      <c r="I30" s="435">
        <f t="shared" si="0"/>
        <v>1.0000000000000002</v>
      </c>
      <c r="J30" s="433">
        <f t="shared" si="6"/>
        <v>0</v>
      </c>
      <c r="K30" s="433">
        <f t="shared" si="3"/>
        <v>0</v>
      </c>
      <c r="L30" s="435">
        <f t="shared" si="2"/>
        <v>0</v>
      </c>
      <c r="M30" s="420"/>
      <c r="N30" s="420"/>
      <c r="O30" s="420">
        <f t="shared" si="5"/>
        <v>0</v>
      </c>
      <c r="P30" s="420" t="e">
        <f>N30-#REF!</f>
        <v>#REF!</v>
      </c>
      <c r="R30" s="420"/>
      <c r="U30" s="386">
        <v>0</v>
      </c>
    </row>
    <row r="31" spans="1:21" s="402" customFormat="1" ht="15.75" x14ac:dyDescent="0.2">
      <c r="A31" s="414" t="s">
        <v>353</v>
      </c>
      <c r="B31" s="432" t="s">
        <v>354</v>
      </c>
      <c r="C31" s="433" t="s">
        <v>35</v>
      </c>
      <c r="D31" s="433">
        <v>0.6</v>
      </c>
      <c r="E31" s="433">
        <v>3.7</v>
      </c>
      <c r="F31" s="490">
        <f t="shared" si="4"/>
        <v>2.2200000000000002</v>
      </c>
      <c r="G31" s="483">
        <v>0.6</v>
      </c>
      <c r="H31" s="433">
        <v>2.2200000000000002</v>
      </c>
      <c r="I31" s="435">
        <f t="shared" si="0"/>
        <v>1</v>
      </c>
      <c r="J31" s="433">
        <f t="shared" si="6"/>
        <v>0</v>
      </c>
      <c r="K31" s="433">
        <f t="shared" si="3"/>
        <v>0</v>
      </c>
      <c r="L31" s="435">
        <f t="shared" si="2"/>
        <v>0</v>
      </c>
      <c r="M31" s="420"/>
      <c r="N31" s="420"/>
      <c r="O31" s="420">
        <f t="shared" si="5"/>
        <v>0</v>
      </c>
      <c r="P31" s="420" t="e">
        <f>N31-#REF!</f>
        <v>#REF!</v>
      </c>
      <c r="R31" s="420"/>
      <c r="U31" s="402">
        <v>0</v>
      </c>
    </row>
    <row r="32" spans="1:21" s="402" customFormat="1" ht="63" x14ac:dyDescent="0.2">
      <c r="A32" s="414" t="s">
        <v>355</v>
      </c>
      <c r="B32" s="432" t="s">
        <v>356</v>
      </c>
      <c r="C32" s="433" t="s">
        <v>23</v>
      </c>
      <c r="D32" s="433">
        <v>62</v>
      </c>
      <c r="E32" s="433">
        <v>43.98</v>
      </c>
      <c r="F32" s="490">
        <f t="shared" si="4"/>
        <v>2726.76</v>
      </c>
      <c r="G32" s="483">
        <v>62</v>
      </c>
      <c r="H32" s="433">
        <v>2726.7599999999993</v>
      </c>
      <c r="I32" s="435">
        <f t="shared" si="0"/>
        <v>0.99999999999999967</v>
      </c>
      <c r="J32" s="433">
        <f t="shared" si="6"/>
        <v>0</v>
      </c>
      <c r="K32" s="433">
        <f t="shared" si="3"/>
        <v>0</v>
      </c>
      <c r="L32" s="435">
        <f t="shared" si="2"/>
        <v>0</v>
      </c>
      <c r="M32" s="420"/>
      <c r="N32" s="420"/>
      <c r="O32" s="420">
        <f t="shared" si="5"/>
        <v>0</v>
      </c>
      <c r="P32" s="420" t="e">
        <f>N32-#REF!</f>
        <v>#REF!</v>
      </c>
      <c r="R32" s="420"/>
      <c r="U32" s="402">
        <v>43.98</v>
      </c>
    </row>
    <row r="33" spans="1:21" ht="47.25" x14ac:dyDescent="0.2">
      <c r="A33" s="414" t="s">
        <v>357</v>
      </c>
      <c r="B33" s="432" t="s">
        <v>358</v>
      </c>
      <c r="C33" s="433" t="s">
        <v>35</v>
      </c>
      <c r="D33" s="433">
        <v>239.46</v>
      </c>
      <c r="E33" s="433">
        <v>30.42</v>
      </c>
      <c r="F33" s="490">
        <f t="shared" si="4"/>
        <v>7284.37</v>
      </c>
      <c r="G33" s="483">
        <v>239.46</v>
      </c>
      <c r="H33" s="433">
        <v>7284.3732000000009</v>
      </c>
      <c r="I33" s="435">
        <f t="shared" si="0"/>
        <v>1.000000439296741</v>
      </c>
      <c r="J33" s="433">
        <f t="shared" si="6"/>
        <v>0</v>
      </c>
      <c r="K33" s="433">
        <f t="shared" si="3"/>
        <v>0</v>
      </c>
      <c r="L33" s="435">
        <f t="shared" si="2"/>
        <v>0</v>
      </c>
      <c r="M33" s="420"/>
      <c r="N33" s="420"/>
      <c r="O33" s="420">
        <f t="shared" si="5"/>
        <v>0</v>
      </c>
      <c r="P33" s="420" t="e">
        <f>N33-#REF!</f>
        <v>#REF!</v>
      </c>
      <c r="R33" s="420"/>
      <c r="U33" s="386">
        <v>0</v>
      </c>
    </row>
    <row r="34" spans="1:21" s="402" customFormat="1" ht="15.75" x14ac:dyDescent="0.2">
      <c r="A34" s="414" t="s">
        <v>359</v>
      </c>
      <c r="B34" s="432" t="s">
        <v>360</v>
      </c>
      <c r="C34" s="433" t="s">
        <v>35</v>
      </c>
      <c r="D34" s="433">
        <v>43.8125</v>
      </c>
      <c r="E34" s="433">
        <v>16.79</v>
      </c>
      <c r="F34" s="490">
        <f t="shared" si="4"/>
        <v>735.61</v>
      </c>
      <c r="G34" s="483">
        <v>43.8125</v>
      </c>
      <c r="H34" s="433">
        <v>735.61437500000011</v>
      </c>
      <c r="I34" s="435">
        <f t="shared" si="0"/>
        <v>1.0000059474449778</v>
      </c>
      <c r="J34" s="433">
        <f t="shared" si="6"/>
        <v>0</v>
      </c>
      <c r="K34" s="433">
        <f t="shared" si="3"/>
        <v>0</v>
      </c>
      <c r="L34" s="435">
        <f t="shared" si="2"/>
        <v>0</v>
      </c>
      <c r="M34" s="420"/>
      <c r="N34" s="420"/>
      <c r="O34" s="420">
        <f t="shared" si="5"/>
        <v>0</v>
      </c>
      <c r="P34" s="420" t="e">
        <f>N34-#REF!</f>
        <v>#REF!</v>
      </c>
      <c r="R34" s="420"/>
      <c r="U34" s="402">
        <v>0</v>
      </c>
    </row>
    <row r="35" spans="1:21" s="402" customFormat="1" ht="31.5" x14ac:dyDescent="0.2">
      <c r="A35" s="414" t="s">
        <v>361</v>
      </c>
      <c r="B35" s="432" t="s">
        <v>362</v>
      </c>
      <c r="C35" s="433" t="s">
        <v>26</v>
      </c>
      <c r="D35" s="433">
        <v>192</v>
      </c>
      <c r="E35" s="433">
        <v>71.010000000000005</v>
      </c>
      <c r="F35" s="490">
        <f t="shared" si="4"/>
        <v>13633.92</v>
      </c>
      <c r="G35" s="483">
        <v>192</v>
      </c>
      <c r="H35" s="433">
        <v>13633.920000000002</v>
      </c>
      <c r="I35" s="435">
        <f t="shared" si="0"/>
        <v>1.0000000000000002</v>
      </c>
      <c r="J35" s="433">
        <f t="shared" si="6"/>
        <v>0</v>
      </c>
      <c r="K35" s="433">
        <f t="shared" si="3"/>
        <v>0</v>
      </c>
      <c r="L35" s="435">
        <f t="shared" si="2"/>
        <v>0</v>
      </c>
      <c r="M35" s="420"/>
      <c r="N35" s="420"/>
      <c r="O35" s="420">
        <f t="shared" si="5"/>
        <v>0</v>
      </c>
      <c r="P35" s="420" t="e">
        <f>N35-#REF!</f>
        <v>#REF!</v>
      </c>
      <c r="R35" s="420"/>
      <c r="U35" s="402">
        <v>0</v>
      </c>
    </row>
    <row r="36" spans="1:21" s="402" customFormat="1" ht="31.5" x14ac:dyDescent="0.2">
      <c r="A36" s="414" t="s">
        <v>363</v>
      </c>
      <c r="B36" s="432" t="s">
        <v>364</v>
      </c>
      <c r="C36" s="433" t="s">
        <v>35</v>
      </c>
      <c r="D36" s="433">
        <v>117.4</v>
      </c>
      <c r="E36" s="433">
        <v>12.59</v>
      </c>
      <c r="F36" s="490">
        <f t="shared" si="4"/>
        <v>1478.07</v>
      </c>
      <c r="G36" s="483">
        <v>117.4</v>
      </c>
      <c r="H36" s="433">
        <v>1478.066</v>
      </c>
      <c r="I36" s="435">
        <f t="shared" si="0"/>
        <v>0.99999729376822488</v>
      </c>
      <c r="J36" s="433">
        <f t="shared" si="6"/>
        <v>0</v>
      </c>
      <c r="K36" s="433">
        <f t="shared" si="3"/>
        <v>0</v>
      </c>
      <c r="L36" s="435">
        <f t="shared" si="2"/>
        <v>0</v>
      </c>
      <c r="M36" s="420"/>
      <c r="N36" s="420"/>
      <c r="O36" s="420">
        <f t="shared" si="5"/>
        <v>0</v>
      </c>
      <c r="P36" s="420" t="e">
        <f>N36-#REF!</f>
        <v>#REF!</v>
      </c>
      <c r="R36" s="420"/>
      <c r="U36" s="402">
        <v>0</v>
      </c>
    </row>
    <row r="37" spans="1:21" s="402" customFormat="1" ht="31.5" x14ac:dyDescent="0.2">
      <c r="A37" s="414" t="s">
        <v>365</v>
      </c>
      <c r="B37" s="432" t="s">
        <v>366</v>
      </c>
      <c r="C37" s="433" t="s">
        <v>340</v>
      </c>
      <c r="D37" s="433">
        <v>79.14</v>
      </c>
      <c r="E37" s="433">
        <v>743.61</v>
      </c>
      <c r="F37" s="490">
        <f t="shared" si="4"/>
        <v>58849.3</v>
      </c>
      <c r="G37" s="483">
        <v>79.14</v>
      </c>
      <c r="H37" s="433">
        <v>58849.295399999995</v>
      </c>
      <c r="I37" s="435">
        <f t="shared" si="0"/>
        <v>0.99999992183424424</v>
      </c>
      <c r="J37" s="433">
        <f t="shared" si="6"/>
        <v>0</v>
      </c>
      <c r="K37" s="433">
        <f t="shared" si="3"/>
        <v>0</v>
      </c>
      <c r="L37" s="435">
        <f t="shared" si="2"/>
        <v>0</v>
      </c>
      <c r="M37" s="420"/>
      <c r="N37" s="420"/>
      <c r="O37" s="420">
        <f t="shared" si="5"/>
        <v>0</v>
      </c>
      <c r="P37" s="420" t="e">
        <f>N37-#REF!</f>
        <v>#REF!</v>
      </c>
      <c r="R37" s="420"/>
      <c r="U37" s="402">
        <v>0</v>
      </c>
    </row>
    <row r="38" spans="1:21" s="402" customFormat="1" ht="15.75" x14ac:dyDescent="0.2">
      <c r="A38" s="414" t="s">
        <v>367</v>
      </c>
      <c r="B38" s="432" t="s">
        <v>368</v>
      </c>
      <c r="C38" s="433" t="s">
        <v>35</v>
      </c>
      <c r="D38" s="433">
        <v>6.5</v>
      </c>
      <c r="E38" s="433">
        <v>27.28</v>
      </c>
      <c r="F38" s="490">
        <f t="shared" si="4"/>
        <v>177.32</v>
      </c>
      <c r="G38" s="483">
        <v>6.5</v>
      </c>
      <c r="H38" s="433">
        <v>177.32</v>
      </c>
      <c r="I38" s="435">
        <f t="shared" si="0"/>
        <v>1</v>
      </c>
      <c r="J38" s="433">
        <f t="shared" si="6"/>
        <v>0</v>
      </c>
      <c r="K38" s="433">
        <f t="shared" si="3"/>
        <v>0</v>
      </c>
      <c r="L38" s="435">
        <f t="shared" si="2"/>
        <v>0</v>
      </c>
      <c r="M38" s="420"/>
      <c r="N38" s="420"/>
      <c r="O38" s="420">
        <f t="shared" si="5"/>
        <v>0</v>
      </c>
      <c r="P38" s="420" t="e">
        <f>N38-#REF!</f>
        <v>#REF!</v>
      </c>
      <c r="R38" s="420"/>
      <c r="U38" s="402">
        <v>0</v>
      </c>
    </row>
    <row r="39" spans="1:21" s="402" customFormat="1" ht="15.75" x14ac:dyDescent="0.2">
      <c r="A39" s="414" t="s">
        <v>369</v>
      </c>
      <c r="B39" s="432" t="s">
        <v>370</v>
      </c>
      <c r="C39" s="433" t="s">
        <v>35</v>
      </c>
      <c r="D39" s="433">
        <v>2.95</v>
      </c>
      <c r="E39" s="433">
        <v>26.04</v>
      </c>
      <c r="F39" s="490">
        <f t="shared" si="4"/>
        <v>76.819999999999993</v>
      </c>
      <c r="G39" s="483">
        <v>2.95</v>
      </c>
      <c r="H39" s="433">
        <v>76.819999999999993</v>
      </c>
      <c r="I39" s="435">
        <f t="shared" si="0"/>
        <v>1</v>
      </c>
      <c r="J39" s="433">
        <f t="shared" si="6"/>
        <v>0</v>
      </c>
      <c r="K39" s="433">
        <f t="shared" si="3"/>
        <v>0</v>
      </c>
      <c r="L39" s="435">
        <f t="shared" si="2"/>
        <v>0</v>
      </c>
      <c r="M39" s="420"/>
      <c r="N39" s="420"/>
      <c r="O39" s="420">
        <f t="shared" si="5"/>
        <v>0</v>
      </c>
      <c r="P39" s="420" t="e">
        <f>N39-#REF!</f>
        <v>#REF!</v>
      </c>
      <c r="R39" s="420"/>
      <c r="U39" s="402">
        <v>0</v>
      </c>
    </row>
    <row r="40" spans="1:21" s="402" customFormat="1" ht="31.5" x14ac:dyDescent="0.2">
      <c r="A40" s="414" t="s">
        <v>371</v>
      </c>
      <c r="B40" s="432" t="s">
        <v>372</v>
      </c>
      <c r="C40" s="433" t="s">
        <v>35</v>
      </c>
      <c r="D40" s="433">
        <v>252.2</v>
      </c>
      <c r="E40" s="433">
        <v>4.01</v>
      </c>
      <c r="F40" s="490">
        <f t="shared" si="4"/>
        <v>1011.32</v>
      </c>
      <c r="G40" s="483">
        <v>252.2</v>
      </c>
      <c r="H40" s="433">
        <v>1011.3219999999999</v>
      </c>
      <c r="I40" s="435">
        <f t="shared" si="0"/>
        <v>1.0000019776134159</v>
      </c>
      <c r="J40" s="433">
        <f t="shared" si="6"/>
        <v>0</v>
      </c>
      <c r="K40" s="433">
        <f t="shared" si="3"/>
        <v>0</v>
      </c>
      <c r="L40" s="435">
        <f t="shared" si="2"/>
        <v>0</v>
      </c>
      <c r="M40" s="420"/>
      <c r="N40" s="420"/>
      <c r="O40" s="420">
        <f t="shared" si="5"/>
        <v>0</v>
      </c>
      <c r="P40" s="420" t="e">
        <f>N40-#REF!</f>
        <v>#REF!</v>
      </c>
      <c r="R40" s="420"/>
      <c r="U40" s="402">
        <v>0</v>
      </c>
    </row>
    <row r="41" spans="1:21" s="402" customFormat="1" ht="15.75" x14ac:dyDescent="0.2">
      <c r="A41" s="414" t="s">
        <v>373</v>
      </c>
      <c r="B41" s="432" t="s">
        <v>374</v>
      </c>
      <c r="C41" s="433" t="s">
        <v>35</v>
      </c>
      <c r="D41" s="433">
        <v>201</v>
      </c>
      <c r="E41" s="433">
        <v>29.12</v>
      </c>
      <c r="F41" s="490">
        <f t="shared" si="4"/>
        <v>5853.12</v>
      </c>
      <c r="G41" s="483">
        <v>201</v>
      </c>
      <c r="H41" s="433">
        <v>5853.1204000000007</v>
      </c>
      <c r="I41" s="435">
        <f t="shared" si="0"/>
        <v>1.0000000683396206</v>
      </c>
      <c r="J41" s="433">
        <f t="shared" si="6"/>
        <v>0</v>
      </c>
      <c r="K41" s="433">
        <f t="shared" si="3"/>
        <v>0</v>
      </c>
      <c r="L41" s="435">
        <f t="shared" si="2"/>
        <v>0</v>
      </c>
      <c r="M41" s="420"/>
      <c r="N41" s="420"/>
      <c r="O41" s="420">
        <f t="shared" si="5"/>
        <v>0</v>
      </c>
      <c r="P41" s="420" t="e">
        <f>N41-#REF!</f>
        <v>#REF!</v>
      </c>
      <c r="R41" s="420"/>
      <c r="U41" s="402">
        <v>0</v>
      </c>
    </row>
    <row r="42" spans="1:21" s="402" customFormat="1" ht="15.75" x14ac:dyDescent="0.2">
      <c r="A42" s="414" t="s">
        <v>375</v>
      </c>
      <c r="B42" s="432" t="s">
        <v>376</v>
      </c>
      <c r="C42" s="433" t="s">
        <v>35</v>
      </c>
      <c r="D42" s="433">
        <v>2.64</v>
      </c>
      <c r="E42" s="433">
        <v>6.5</v>
      </c>
      <c r="F42" s="490">
        <f t="shared" si="4"/>
        <v>17.16</v>
      </c>
      <c r="G42" s="483">
        <v>2.6399999999999997</v>
      </c>
      <c r="H42" s="433">
        <v>17.16</v>
      </c>
      <c r="I42" s="435">
        <f t="shared" si="0"/>
        <v>1</v>
      </c>
      <c r="J42" s="433">
        <f t="shared" si="6"/>
        <v>0</v>
      </c>
      <c r="K42" s="433">
        <f t="shared" si="3"/>
        <v>0</v>
      </c>
      <c r="L42" s="435">
        <f t="shared" si="2"/>
        <v>0</v>
      </c>
      <c r="M42" s="420"/>
      <c r="N42" s="420"/>
      <c r="O42" s="420">
        <f t="shared" si="5"/>
        <v>0</v>
      </c>
      <c r="P42" s="420" t="e">
        <f>N42-#REF!</f>
        <v>#REF!</v>
      </c>
      <c r="R42" s="420"/>
    </row>
    <row r="43" spans="1:21" s="402" customFormat="1" ht="15.75" x14ac:dyDescent="0.2">
      <c r="A43" s="414" t="s">
        <v>377</v>
      </c>
      <c r="B43" s="432" t="s">
        <v>378</v>
      </c>
      <c r="C43" s="433" t="s">
        <v>35</v>
      </c>
      <c r="D43" s="433">
        <v>22.14</v>
      </c>
      <c r="E43" s="433">
        <v>15.53</v>
      </c>
      <c r="F43" s="490">
        <f t="shared" si="4"/>
        <v>343.83</v>
      </c>
      <c r="G43" s="483">
        <v>22.139999999999997</v>
      </c>
      <c r="H43" s="433">
        <v>343.83</v>
      </c>
      <c r="I43" s="435">
        <f t="shared" si="0"/>
        <v>1</v>
      </c>
      <c r="J43" s="433">
        <f t="shared" si="6"/>
        <v>0</v>
      </c>
      <c r="K43" s="433">
        <f t="shared" si="3"/>
        <v>0</v>
      </c>
      <c r="L43" s="435">
        <f t="shared" si="2"/>
        <v>0</v>
      </c>
      <c r="M43" s="420"/>
      <c r="N43" s="420"/>
      <c r="O43" s="420">
        <f t="shared" si="5"/>
        <v>0</v>
      </c>
      <c r="P43" s="420" t="e">
        <f>N43-#REF!</f>
        <v>#REF!</v>
      </c>
      <c r="R43" s="420"/>
    </row>
    <row r="44" spans="1:21" s="402" customFormat="1" ht="31.5" x14ac:dyDescent="0.2">
      <c r="A44" s="414" t="s">
        <v>379</v>
      </c>
      <c r="B44" s="432" t="s">
        <v>380</v>
      </c>
      <c r="C44" s="433" t="s">
        <v>35</v>
      </c>
      <c r="D44" s="433">
        <v>131.65</v>
      </c>
      <c r="E44" s="433">
        <v>11.23</v>
      </c>
      <c r="F44" s="490">
        <f t="shared" si="4"/>
        <v>1478.43</v>
      </c>
      <c r="G44" s="483">
        <v>131.65</v>
      </c>
      <c r="H44" s="433">
        <v>1478.4313999999999</v>
      </c>
      <c r="I44" s="435">
        <f t="shared" si="0"/>
        <v>1.0000009469504811</v>
      </c>
      <c r="J44" s="433">
        <f t="shared" si="6"/>
        <v>0</v>
      </c>
      <c r="K44" s="433">
        <f t="shared" si="3"/>
        <v>0</v>
      </c>
      <c r="L44" s="435">
        <f t="shared" si="2"/>
        <v>0</v>
      </c>
      <c r="M44" s="420">
        <f>39.5-G45</f>
        <v>-12</v>
      </c>
      <c r="N44" s="420"/>
      <c r="O44" s="420">
        <f t="shared" si="5"/>
        <v>0</v>
      </c>
      <c r="P44" s="420" t="e">
        <f>N44-#REF!</f>
        <v>#REF!</v>
      </c>
      <c r="R44" s="420"/>
    </row>
    <row r="45" spans="1:21" s="402" customFormat="1" ht="15.75" x14ac:dyDescent="0.2">
      <c r="A45" s="414" t="s">
        <v>381</v>
      </c>
      <c r="B45" s="432" t="s">
        <v>382</v>
      </c>
      <c r="C45" s="433" t="s">
        <v>35</v>
      </c>
      <c r="D45" s="433">
        <v>51.5</v>
      </c>
      <c r="E45" s="433">
        <v>13.77</v>
      </c>
      <c r="F45" s="490">
        <f t="shared" si="4"/>
        <v>709.16</v>
      </c>
      <c r="G45" s="483">
        <v>51.5</v>
      </c>
      <c r="H45" s="433">
        <v>709.15499999999997</v>
      </c>
      <c r="I45" s="435">
        <f t="shared" si="0"/>
        <v>0.99999294940492978</v>
      </c>
      <c r="J45" s="433">
        <f t="shared" si="6"/>
        <v>0</v>
      </c>
      <c r="K45" s="433">
        <f t="shared" si="3"/>
        <v>0</v>
      </c>
      <c r="L45" s="435">
        <f t="shared" si="2"/>
        <v>0</v>
      </c>
      <c r="M45" s="420"/>
      <c r="N45" s="420"/>
      <c r="O45" s="420">
        <f t="shared" si="5"/>
        <v>0</v>
      </c>
      <c r="P45" s="420" t="e">
        <f>N45-#REF!</f>
        <v>#REF!</v>
      </c>
      <c r="R45" s="420"/>
    </row>
    <row r="46" spans="1:21" s="402" customFormat="1" ht="15.75" x14ac:dyDescent="0.2">
      <c r="A46" s="414" t="s">
        <v>383</v>
      </c>
      <c r="B46" s="432" t="s">
        <v>384</v>
      </c>
      <c r="C46" s="433" t="s">
        <v>35</v>
      </c>
      <c r="D46" s="433">
        <v>12</v>
      </c>
      <c r="E46" s="433">
        <v>23.51</v>
      </c>
      <c r="F46" s="490">
        <f t="shared" si="4"/>
        <v>282.12</v>
      </c>
      <c r="G46" s="483">
        <v>12</v>
      </c>
      <c r="H46" s="433">
        <v>282.12</v>
      </c>
      <c r="I46" s="435">
        <f t="shared" si="0"/>
        <v>1</v>
      </c>
      <c r="J46" s="433">
        <f t="shared" si="6"/>
        <v>0</v>
      </c>
      <c r="K46" s="433">
        <f t="shared" si="3"/>
        <v>0</v>
      </c>
      <c r="L46" s="435">
        <f t="shared" si="2"/>
        <v>0</v>
      </c>
      <c r="M46" s="420"/>
      <c r="N46" s="420"/>
      <c r="O46" s="420">
        <f t="shared" si="5"/>
        <v>0</v>
      </c>
      <c r="P46" s="420" t="e">
        <f>N46-#REF!</f>
        <v>#REF!</v>
      </c>
      <c r="R46" s="420"/>
    </row>
    <row r="47" spans="1:21" s="402" customFormat="1" ht="15.75" x14ac:dyDescent="0.2">
      <c r="A47" s="414" t="s">
        <v>385</v>
      </c>
      <c r="B47" s="432" t="s">
        <v>386</v>
      </c>
      <c r="C47" s="433" t="s">
        <v>26</v>
      </c>
      <c r="D47" s="433">
        <v>252.36</v>
      </c>
      <c r="E47" s="433">
        <v>5.67</v>
      </c>
      <c r="F47" s="490">
        <f t="shared" si="4"/>
        <v>1430.88</v>
      </c>
      <c r="G47" s="483">
        <v>252.36</v>
      </c>
      <c r="H47" s="433">
        <v>1430.8812000000003</v>
      </c>
      <c r="I47" s="435">
        <f t="shared" si="0"/>
        <v>1.0000008386447501</v>
      </c>
      <c r="J47" s="433">
        <f t="shared" si="6"/>
        <v>0</v>
      </c>
      <c r="K47" s="433">
        <f t="shared" si="3"/>
        <v>0</v>
      </c>
      <c r="L47" s="435">
        <f t="shared" si="2"/>
        <v>0</v>
      </c>
      <c r="M47" s="420"/>
      <c r="N47" s="420"/>
      <c r="O47" s="420">
        <f t="shared" si="5"/>
        <v>0</v>
      </c>
      <c r="P47" s="420" t="e">
        <f>N47-#REF!</f>
        <v>#REF!</v>
      </c>
      <c r="R47" s="420"/>
    </row>
    <row r="48" spans="1:21" s="402" customFormat="1" ht="15.75" x14ac:dyDescent="0.2">
      <c r="A48" s="449" t="s">
        <v>921</v>
      </c>
      <c r="B48" s="432"/>
      <c r="C48" s="433"/>
      <c r="D48" s="433">
        <v>0</v>
      </c>
      <c r="E48" s="433"/>
      <c r="F48" s="490"/>
      <c r="G48" s="483">
        <v>0</v>
      </c>
      <c r="H48" s="433">
        <v>0</v>
      </c>
      <c r="I48" s="435"/>
      <c r="J48" s="433"/>
      <c r="K48" s="433"/>
      <c r="L48" s="435"/>
      <c r="M48" s="420"/>
      <c r="N48" s="420"/>
      <c r="O48" s="420">
        <f t="shared" si="5"/>
        <v>0</v>
      </c>
      <c r="P48" s="420" t="e">
        <f>N48-#REF!</f>
        <v>#REF!</v>
      </c>
      <c r="R48" s="420"/>
    </row>
    <row r="49" spans="1:21" s="402" customFormat="1" ht="15.75" x14ac:dyDescent="0.2">
      <c r="A49" s="414" t="s">
        <v>387</v>
      </c>
      <c r="B49" s="432" t="s">
        <v>388</v>
      </c>
      <c r="C49" s="433" t="s">
        <v>35</v>
      </c>
      <c r="D49" s="433">
        <v>6.5</v>
      </c>
      <c r="E49" s="433">
        <v>12.8</v>
      </c>
      <c r="F49" s="490">
        <f t="shared" si="4"/>
        <v>83.2</v>
      </c>
      <c r="G49" s="483">
        <v>6.5</v>
      </c>
      <c r="H49" s="433">
        <v>83.2</v>
      </c>
      <c r="I49" s="435">
        <f>IF(F49=0,0,H49/F49)</f>
        <v>1</v>
      </c>
      <c r="J49" s="433">
        <f>D49-G49</f>
        <v>0</v>
      </c>
      <c r="K49" s="433">
        <f>ROUND((J49*E49),2)</f>
        <v>0</v>
      </c>
      <c r="L49" s="435">
        <f>IF(F49=0,0,K49/F49)</f>
        <v>0</v>
      </c>
      <c r="M49" s="420"/>
      <c r="N49" s="420"/>
      <c r="O49" s="420">
        <f t="shared" si="5"/>
        <v>0</v>
      </c>
      <c r="P49" s="420" t="e">
        <f>N49-#REF!</f>
        <v>#REF!</v>
      </c>
      <c r="R49" s="420"/>
    </row>
    <row r="50" spans="1:21" s="402" customFormat="1" ht="15.75" x14ac:dyDescent="0.2">
      <c r="A50" s="449" t="s">
        <v>922</v>
      </c>
      <c r="B50" s="432"/>
      <c r="C50" s="433"/>
      <c r="D50" s="433">
        <v>0</v>
      </c>
      <c r="E50" s="433"/>
      <c r="F50" s="490"/>
      <c r="G50" s="483">
        <v>0</v>
      </c>
      <c r="H50" s="433">
        <v>0</v>
      </c>
      <c r="I50" s="435"/>
      <c r="J50" s="433"/>
      <c r="K50" s="433"/>
      <c r="L50" s="435"/>
      <c r="M50" s="420"/>
      <c r="N50" s="420"/>
      <c r="O50" s="420">
        <f t="shared" si="5"/>
        <v>0</v>
      </c>
      <c r="P50" s="420" t="e">
        <f>N50-#REF!</f>
        <v>#REF!</v>
      </c>
      <c r="R50" s="420"/>
    </row>
    <row r="51" spans="1:21" s="402" customFormat="1" ht="31.5" x14ac:dyDescent="0.2">
      <c r="A51" s="414" t="s">
        <v>389</v>
      </c>
      <c r="B51" s="432" t="s">
        <v>390</v>
      </c>
      <c r="C51" s="433" t="s">
        <v>35</v>
      </c>
      <c r="D51" s="433">
        <v>2640</v>
      </c>
      <c r="E51" s="433">
        <v>3.64</v>
      </c>
      <c r="F51" s="490">
        <f t="shared" si="4"/>
        <v>9609.6</v>
      </c>
      <c r="G51" s="483">
        <v>2640</v>
      </c>
      <c r="H51" s="433">
        <v>9609.6</v>
      </c>
      <c r="I51" s="435">
        <f>IF(F51=0,0,H51/F51)</f>
        <v>1</v>
      </c>
      <c r="J51" s="433">
        <f t="shared" ref="J51:J60" si="7">D51-G51</f>
        <v>0</v>
      </c>
      <c r="K51" s="433">
        <f>ROUND((J51*E51),2)</f>
        <v>0</v>
      </c>
      <c r="L51" s="435">
        <f>IF(F51=0,0,K51/F51)</f>
        <v>0</v>
      </c>
      <c r="M51" s="420"/>
      <c r="N51" s="420"/>
      <c r="O51" s="420">
        <f t="shared" si="5"/>
        <v>0</v>
      </c>
      <c r="P51" s="420" t="e">
        <f>N51-#REF!</f>
        <v>#REF!</v>
      </c>
      <c r="R51" s="420"/>
      <c r="U51" s="402">
        <v>6071.52</v>
      </c>
    </row>
    <row r="52" spans="1:21" s="402" customFormat="1" ht="31.5" x14ac:dyDescent="0.2">
      <c r="A52" s="414" t="s">
        <v>391</v>
      </c>
      <c r="B52" s="432" t="s">
        <v>392</v>
      </c>
      <c r="C52" s="433" t="s">
        <v>23</v>
      </c>
      <c r="D52" s="433">
        <v>1</v>
      </c>
      <c r="E52" s="433">
        <v>3065.34</v>
      </c>
      <c r="F52" s="490">
        <f t="shared" si="4"/>
        <v>3065.34</v>
      </c>
      <c r="G52" s="483">
        <v>1</v>
      </c>
      <c r="H52" s="433">
        <v>3065.3399999999997</v>
      </c>
      <c r="I52" s="435">
        <f>IF(F52=0,0,H52/F52)</f>
        <v>0.99999999999999989</v>
      </c>
      <c r="J52" s="433">
        <f t="shared" si="7"/>
        <v>0</v>
      </c>
      <c r="K52" s="433">
        <f>ROUND((J52*E52),2)</f>
        <v>0</v>
      </c>
      <c r="L52" s="435">
        <f>IF(F52=0,0,K52/F52)</f>
        <v>0</v>
      </c>
      <c r="M52" s="420"/>
      <c r="N52" s="420"/>
      <c r="O52" s="420">
        <f t="shared" si="5"/>
        <v>0</v>
      </c>
      <c r="P52" s="420" t="e">
        <f>N52-#REF!</f>
        <v>#REF!</v>
      </c>
      <c r="R52" s="420"/>
      <c r="U52" s="402">
        <v>0</v>
      </c>
    </row>
    <row r="53" spans="1:21" s="402" customFormat="1" ht="31.5" x14ac:dyDescent="0.2">
      <c r="A53" s="414" t="s">
        <v>393</v>
      </c>
      <c r="B53" s="432" t="s">
        <v>394</v>
      </c>
      <c r="C53" s="433" t="s">
        <v>35</v>
      </c>
      <c r="D53" s="433">
        <v>1330.94</v>
      </c>
      <c r="E53" s="433">
        <v>3.15</v>
      </c>
      <c r="F53" s="490">
        <f t="shared" si="4"/>
        <v>4192.46</v>
      </c>
      <c r="G53" s="483">
        <v>1330.94</v>
      </c>
      <c r="H53" s="433">
        <v>4192.4594999999999</v>
      </c>
      <c r="I53" s="435">
        <f>IF(F53=0,0,H53/F53)</f>
        <v>0.99999988073827772</v>
      </c>
      <c r="J53" s="433">
        <f t="shared" si="7"/>
        <v>0</v>
      </c>
      <c r="K53" s="433">
        <f>ROUND((J53*E53),2)</f>
        <v>0</v>
      </c>
      <c r="L53" s="435">
        <f>IF(F53=0,0,K53/F53)</f>
        <v>0</v>
      </c>
      <c r="M53" s="420"/>
      <c r="N53" s="420"/>
      <c r="O53" s="420">
        <f t="shared" si="5"/>
        <v>0</v>
      </c>
      <c r="P53" s="420" t="e">
        <f>N53-#REF!</f>
        <v>#REF!</v>
      </c>
      <c r="R53" s="420"/>
      <c r="U53" s="402">
        <v>625.74749999999995</v>
      </c>
    </row>
    <row r="54" spans="1:21" ht="15.75" x14ac:dyDescent="0.2">
      <c r="A54" s="436"/>
      <c r="B54" s="422" t="s">
        <v>129</v>
      </c>
      <c r="C54" s="424"/>
      <c r="D54" s="424"/>
      <c r="E54" s="424"/>
      <c r="F54" s="427">
        <f>SUM(F10:F53)</f>
        <v>205380.6</v>
      </c>
      <c r="G54" s="484">
        <v>0</v>
      </c>
      <c r="H54" s="437">
        <v>205380.58562699999</v>
      </c>
      <c r="I54" s="429">
        <f>IF(F54=0,0,H54/F54)</f>
        <v>0.99999993001773291</v>
      </c>
      <c r="J54" s="430">
        <f t="shared" si="7"/>
        <v>0</v>
      </c>
      <c r="K54" s="438">
        <f>SUM(K10:K53)</f>
        <v>0</v>
      </c>
      <c r="L54" s="429">
        <f>IF(F54=0,0,K54/F54)</f>
        <v>0</v>
      </c>
      <c r="M54" s="420"/>
      <c r="N54" s="420">
        <f>K54</f>
        <v>0</v>
      </c>
      <c r="O54" s="420">
        <f t="shared" si="5"/>
        <v>0</v>
      </c>
      <c r="P54" s="420" t="e">
        <f>N54-#REF!</f>
        <v>#REF!</v>
      </c>
      <c r="R54" s="420"/>
      <c r="U54" s="386">
        <v>8181.6504999999997</v>
      </c>
    </row>
    <row r="55" spans="1:21" ht="20.25" customHeight="1" x14ac:dyDescent="0.2">
      <c r="A55" s="436"/>
      <c r="B55" s="422"/>
      <c r="C55" s="424"/>
      <c r="D55" s="424"/>
      <c r="E55" s="424"/>
      <c r="F55" s="427"/>
      <c r="G55" s="484">
        <v>0</v>
      </c>
      <c r="H55" s="437"/>
      <c r="I55" s="429"/>
      <c r="J55" s="430">
        <f t="shared" si="7"/>
        <v>0</v>
      </c>
      <c r="K55" s="437"/>
      <c r="L55" s="431"/>
      <c r="M55" s="420"/>
      <c r="N55" s="420"/>
      <c r="O55" s="420">
        <f t="shared" si="5"/>
        <v>0</v>
      </c>
      <c r="P55" s="420"/>
      <c r="R55" s="420"/>
      <c r="U55" s="386">
        <v>0</v>
      </c>
    </row>
    <row r="56" spans="1:21" ht="15.75" x14ac:dyDescent="0.2">
      <c r="A56" s="421" t="s">
        <v>395</v>
      </c>
      <c r="B56" s="422" t="s">
        <v>396</v>
      </c>
      <c r="C56" s="424">
        <v>0</v>
      </c>
      <c r="D56" s="424">
        <v>0</v>
      </c>
      <c r="E56" s="424">
        <v>0</v>
      </c>
      <c r="F56" s="491">
        <f t="shared" ref="F56:F75" si="8">D56*E56</f>
        <v>0</v>
      </c>
      <c r="G56" s="484">
        <v>0</v>
      </c>
      <c r="H56" s="424"/>
      <c r="I56" s="431">
        <f>IF(F56=0,0,H56/F56)</f>
        <v>0</v>
      </c>
      <c r="J56" s="430">
        <f t="shared" si="7"/>
        <v>0</v>
      </c>
      <c r="K56" s="424">
        <f>J56*E56</f>
        <v>0</v>
      </c>
      <c r="L56" s="431">
        <f>IF(F56=0,0,K56/F56)</f>
        <v>0</v>
      </c>
      <c r="M56" s="420"/>
      <c r="N56" s="420"/>
      <c r="O56" s="420">
        <f t="shared" si="5"/>
        <v>0</v>
      </c>
      <c r="P56" s="420"/>
      <c r="R56" s="420"/>
      <c r="U56" s="386">
        <v>0</v>
      </c>
    </row>
    <row r="57" spans="1:21" ht="47.25" x14ac:dyDescent="0.2">
      <c r="A57" s="414" t="s">
        <v>397</v>
      </c>
      <c r="B57" s="432" t="s">
        <v>398</v>
      </c>
      <c r="C57" s="433" t="s">
        <v>26</v>
      </c>
      <c r="D57" s="433">
        <v>25</v>
      </c>
      <c r="E57" s="433">
        <v>450.52</v>
      </c>
      <c r="F57" s="490">
        <f t="shared" ref="F57:F72" si="9">ROUND((E57*D57),2)</f>
        <v>11263</v>
      </c>
      <c r="G57" s="483">
        <v>25</v>
      </c>
      <c r="H57" s="433">
        <v>11263</v>
      </c>
      <c r="I57" s="435">
        <f>IF(F57=0,0,H57/F57)</f>
        <v>1</v>
      </c>
      <c r="J57" s="433">
        <f t="shared" si="7"/>
        <v>0</v>
      </c>
      <c r="K57" s="433">
        <f>ROUND((J57*E57),2)</f>
        <v>0</v>
      </c>
      <c r="L57" s="435">
        <f>IF(F57=0,0,K57/F57)</f>
        <v>0</v>
      </c>
      <c r="M57" s="420"/>
      <c r="N57" s="420"/>
      <c r="O57" s="420">
        <f t="shared" si="5"/>
        <v>0</v>
      </c>
      <c r="P57" s="420"/>
      <c r="R57" s="420"/>
    </row>
    <row r="58" spans="1:21" ht="63" x14ac:dyDescent="0.2">
      <c r="A58" s="414" t="s">
        <v>399</v>
      </c>
      <c r="B58" s="432" t="s">
        <v>400</v>
      </c>
      <c r="C58" s="433" t="s">
        <v>26</v>
      </c>
      <c r="D58" s="433">
        <v>25</v>
      </c>
      <c r="E58" s="433">
        <v>62.06</v>
      </c>
      <c r="F58" s="490">
        <f t="shared" si="9"/>
        <v>1551.5</v>
      </c>
      <c r="G58" s="483">
        <v>25</v>
      </c>
      <c r="H58" s="433">
        <v>1551.5</v>
      </c>
      <c r="I58" s="435">
        <f>IF(F58=0,0,H58/F58)</f>
        <v>1</v>
      </c>
      <c r="J58" s="433">
        <f t="shared" si="7"/>
        <v>0</v>
      </c>
      <c r="K58" s="433">
        <f>ROUND((J58*E58),2)</f>
        <v>0</v>
      </c>
      <c r="L58" s="435">
        <f>IF(F58=0,0,K58/F58)</f>
        <v>0</v>
      </c>
      <c r="M58" s="420"/>
      <c r="N58" s="420"/>
      <c r="O58" s="420">
        <f t="shared" si="5"/>
        <v>0</v>
      </c>
      <c r="P58" s="420"/>
      <c r="R58" s="420"/>
    </row>
    <row r="59" spans="1:21" ht="63" x14ac:dyDescent="0.2">
      <c r="A59" s="414" t="s">
        <v>401</v>
      </c>
      <c r="B59" s="432" t="s">
        <v>402</v>
      </c>
      <c r="C59" s="433" t="s">
        <v>26</v>
      </c>
      <c r="D59" s="433">
        <v>20</v>
      </c>
      <c r="E59" s="433">
        <v>576.1</v>
      </c>
      <c r="F59" s="490">
        <f t="shared" si="9"/>
        <v>11522</v>
      </c>
      <c r="G59" s="483">
        <v>20</v>
      </c>
      <c r="H59" s="433">
        <v>11522</v>
      </c>
      <c r="I59" s="435">
        <f>IF(F59=0,0,H59/F59)</f>
        <v>1</v>
      </c>
      <c r="J59" s="433">
        <f t="shared" si="7"/>
        <v>0</v>
      </c>
      <c r="K59" s="433">
        <f>ROUND((J59*E59),2)</f>
        <v>0</v>
      </c>
      <c r="L59" s="435">
        <f>IF(F59=0,0,K59/F59)</f>
        <v>0</v>
      </c>
      <c r="M59" s="420"/>
      <c r="N59" s="420"/>
      <c r="O59" s="420">
        <f t="shared" si="5"/>
        <v>0</v>
      </c>
      <c r="P59" s="420"/>
      <c r="R59" s="420"/>
    </row>
    <row r="60" spans="1:21" ht="46.5" customHeight="1" x14ac:dyDescent="0.2">
      <c r="A60" s="414" t="s">
        <v>403</v>
      </c>
      <c r="B60" s="432" t="s">
        <v>404</v>
      </c>
      <c r="C60" s="433" t="s">
        <v>26</v>
      </c>
      <c r="D60" s="433">
        <v>110</v>
      </c>
      <c r="E60" s="433">
        <v>7.53</v>
      </c>
      <c r="F60" s="490">
        <f t="shared" si="9"/>
        <v>828.3</v>
      </c>
      <c r="G60" s="483">
        <v>110</v>
      </c>
      <c r="H60" s="433">
        <v>828.3</v>
      </c>
      <c r="I60" s="435">
        <f>IF(F60=0,0,H60/F60)</f>
        <v>1</v>
      </c>
      <c r="J60" s="433">
        <f t="shared" si="7"/>
        <v>0</v>
      </c>
      <c r="K60" s="433">
        <f>ROUND((J60*E60),2)</f>
        <v>0</v>
      </c>
      <c r="L60" s="435">
        <f>IF(F60=0,0,K60/F60)</f>
        <v>0</v>
      </c>
      <c r="M60" s="420"/>
      <c r="N60" s="420"/>
      <c r="O60" s="420">
        <f t="shared" si="5"/>
        <v>0</v>
      </c>
      <c r="P60" s="420"/>
      <c r="R60" s="420"/>
    </row>
    <row r="61" spans="1:21" ht="27" customHeight="1" x14ac:dyDescent="0.25">
      <c r="A61" s="463" t="s">
        <v>923</v>
      </c>
      <c r="B61" s="461" t="s">
        <v>924</v>
      </c>
      <c r="C61" s="424"/>
      <c r="D61" s="424">
        <v>0</v>
      </c>
      <c r="E61" s="424"/>
      <c r="F61" s="491"/>
      <c r="G61" s="440">
        <v>0</v>
      </c>
      <c r="H61" s="424"/>
      <c r="I61" s="431"/>
      <c r="J61" s="424"/>
      <c r="K61" s="424"/>
      <c r="L61" s="431"/>
      <c r="M61" s="420"/>
      <c r="N61" s="420"/>
      <c r="O61" s="420">
        <f t="shared" si="5"/>
        <v>0</v>
      </c>
      <c r="P61" s="420"/>
      <c r="R61" s="420"/>
    </row>
    <row r="62" spans="1:21" ht="15.75" x14ac:dyDescent="0.2">
      <c r="A62" s="414" t="s">
        <v>405</v>
      </c>
      <c r="B62" s="432" t="s">
        <v>406</v>
      </c>
      <c r="C62" s="433" t="s">
        <v>35</v>
      </c>
      <c r="D62" s="433">
        <v>8</v>
      </c>
      <c r="E62" s="433">
        <v>282.51</v>
      </c>
      <c r="F62" s="490">
        <f t="shared" si="9"/>
        <v>2260.08</v>
      </c>
      <c r="G62" s="483">
        <v>8</v>
      </c>
      <c r="H62" s="433">
        <v>2260.08</v>
      </c>
      <c r="I62" s="435">
        <f t="shared" ref="I62:I76" si="10">IF(F62=0,0,H62/F62)</f>
        <v>1</v>
      </c>
      <c r="J62" s="433">
        <f t="shared" ref="J62:J76" si="11">D62-G62</f>
        <v>0</v>
      </c>
      <c r="K62" s="433">
        <f t="shared" ref="K62:K72" si="12">ROUND((J62*E62),2)</f>
        <v>0</v>
      </c>
      <c r="L62" s="435">
        <f t="shared" ref="L62:L76" si="13">IF(F62=0,0,K62/F62)</f>
        <v>0</v>
      </c>
      <c r="M62" s="420"/>
      <c r="N62" s="420"/>
      <c r="O62" s="420">
        <f t="shared" si="5"/>
        <v>0</v>
      </c>
      <c r="P62" s="420"/>
      <c r="R62" s="420"/>
    </row>
    <row r="63" spans="1:21" ht="63" x14ac:dyDescent="0.2">
      <c r="A63" s="414" t="s">
        <v>407</v>
      </c>
      <c r="B63" s="432" t="s">
        <v>408</v>
      </c>
      <c r="C63" s="433" t="s">
        <v>35</v>
      </c>
      <c r="D63" s="433">
        <v>2304.54</v>
      </c>
      <c r="E63" s="433">
        <v>28.15</v>
      </c>
      <c r="F63" s="490">
        <f t="shared" si="9"/>
        <v>64872.800000000003</v>
      </c>
      <c r="G63" s="483">
        <v>2304.54</v>
      </c>
      <c r="H63" s="433">
        <v>64872.799499999994</v>
      </c>
      <c r="I63" s="435">
        <f t="shared" si="10"/>
        <v>0.99999999229260939</v>
      </c>
      <c r="J63" s="433">
        <f t="shared" si="11"/>
        <v>0</v>
      </c>
      <c r="K63" s="433">
        <f t="shared" si="12"/>
        <v>0</v>
      </c>
      <c r="L63" s="435">
        <f t="shared" si="13"/>
        <v>0</v>
      </c>
      <c r="M63" s="420"/>
      <c r="N63" s="420"/>
      <c r="O63" s="420">
        <f t="shared" si="5"/>
        <v>0</v>
      </c>
      <c r="P63" s="420"/>
      <c r="R63" s="420"/>
    </row>
    <row r="64" spans="1:21" ht="31.5" x14ac:dyDescent="0.2">
      <c r="A64" s="414" t="s">
        <v>409</v>
      </c>
      <c r="B64" s="432" t="s">
        <v>410</v>
      </c>
      <c r="C64" s="433" t="s">
        <v>23</v>
      </c>
      <c r="D64" s="433">
        <v>6</v>
      </c>
      <c r="E64" s="433">
        <v>1785.16</v>
      </c>
      <c r="F64" s="490">
        <f t="shared" si="9"/>
        <v>10710.96</v>
      </c>
      <c r="G64" s="483">
        <v>6</v>
      </c>
      <c r="H64" s="433">
        <v>10710.96</v>
      </c>
      <c r="I64" s="435">
        <f t="shared" si="10"/>
        <v>1</v>
      </c>
      <c r="J64" s="433">
        <f t="shared" si="11"/>
        <v>0</v>
      </c>
      <c r="K64" s="433">
        <f t="shared" si="12"/>
        <v>0</v>
      </c>
      <c r="L64" s="435">
        <f t="shared" si="13"/>
        <v>0</v>
      </c>
      <c r="M64" s="420"/>
      <c r="N64" s="420"/>
      <c r="O64" s="420">
        <f t="shared" si="5"/>
        <v>0</v>
      </c>
      <c r="P64" s="420"/>
      <c r="R64" s="420"/>
    </row>
    <row r="65" spans="1:21" ht="63" x14ac:dyDescent="0.2">
      <c r="A65" s="414" t="s">
        <v>411</v>
      </c>
      <c r="B65" s="432" t="s">
        <v>412</v>
      </c>
      <c r="C65" s="433" t="s">
        <v>413</v>
      </c>
      <c r="D65" s="433">
        <v>24</v>
      </c>
      <c r="E65" s="433">
        <v>1153.94</v>
      </c>
      <c r="F65" s="490">
        <f t="shared" si="9"/>
        <v>27694.560000000001</v>
      </c>
      <c r="G65" s="483">
        <v>24</v>
      </c>
      <c r="H65" s="433">
        <v>27694.55999999999</v>
      </c>
      <c r="I65" s="435">
        <f t="shared" si="10"/>
        <v>0.99999999999999956</v>
      </c>
      <c r="J65" s="433">
        <f t="shared" si="11"/>
        <v>0</v>
      </c>
      <c r="K65" s="433">
        <f t="shared" si="12"/>
        <v>0</v>
      </c>
      <c r="L65" s="435">
        <f t="shared" si="13"/>
        <v>0</v>
      </c>
      <c r="M65" s="420"/>
      <c r="N65" s="420"/>
      <c r="O65" s="420">
        <f t="shared" si="5"/>
        <v>0</v>
      </c>
      <c r="P65" s="420"/>
      <c r="R65" s="420"/>
      <c r="U65" s="386">
        <v>2307.88</v>
      </c>
    </row>
    <row r="66" spans="1:21" ht="63" x14ac:dyDescent="0.2">
      <c r="A66" s="414" t="s">
        <v>414</v>
      </c>
      <c r="B66" s="432" t="s">
        <v>415</v>
      </c>
      <c r="C66" s="433" t="s">
        <v>413</v>
      </c>
      <c r="D66" s="433">
        <v>24</v>
      </c>
      <c r="E66" s="433">
        <v>1040.47</v>
      </c>
      <c r="F66" s="490">
        <f t="shared" si="9"/>
        <v>24971.279999999999</v>
      </c>
      <c r="G66" s="483">
        <v>24</v>
      </c>
      <c r="H66" s="433">
        <v>24971.280000000006</v>
      </c>
      <c r="I66" s="435">
        <f t="shared" si="10"/>
        <v>1.0000000000000002</v>
      </c>
      <c r="J66" s="433">
        <f t="shared" si="11"/>
        <v>0</v>
      </c>
      <c r="K66" s="433">
        <f t="shared" si="12"/>
        <v>0</v>
      </c>
      <c r="L66" s="435">
        <f t="shared" si="13"/>
        <v>0</v>
      </c>
      <c r="M66" s="420"/>
      <c r="N66" s="420"/>
      <c r="O66" s="420">
        <f t="shared" si="5"/>
        <v>0</v>
      </c>
      <c r="P66" s="420"/>
      <c r="R66" s="420"/>
      <c r="U66" s="386">
        <v>2080.94</v>
      </c>
    </row>
    <row r="67" spans="1:21" ht="63" x14ac:dyDescent="0.2">
      <c r="A67" s="414" t="s">
        <v>416</v>
      </c>
      <c r="B67" s="432" t="s">
        <v>417</v>
      </c>
      <c r="C67" s="433" t="s">
        <v>413</v>
      </c>
      <c r="D67" s="433">
        <v>24</v>
      </c>
      <c r="E67" s="433">
        <v>867.3</v>
      </c>
      <c r="F67" s="490">
        <f t="shared" si="9"/>
        <v>20815.2</v>
      </c>
      <c r="G67" s="483">
        <v>24</v>
      </c>
      <c r="H67" s="433">
        <v>20815.19999999999</v>
      </c>
      <c r="I67" s="435">
        <f t="shared" si="10"/>
        <v>0.99999999999999944</v>
      </c>
      <c r="J67" s="433">
        <f t="shared" si="11"/>
        <v>0</v>
      </c>
      <c r="K67" s="433">
        <f t="shared" si="12"/>
        <v>0</v>
      </c>
      <c r="L67" s="435">
        <f t="shared" si="13"/>
        <v>0</v>
      </c>
      <c r="M67" s="420"/>
      <c r="N67" s="420"/>
      <c r="O67" s="420">
        <f t="shared" si="5"/>
        <v>0</v>
      </c>
      <c r="P67" s="420"/>
      <c r="R67" s="420"/>
      <c r="U67" s="386">
        <v>867.3</v>
      </c>
    </row>
    <row r="68" spans="1:21" s="402" customFormat="1" ht="63" x14ac:dyDescent="0.2">
      <c r="A68" s="414" t="s">
        <v>418</v>
      </c>
      <c r="B68" s="432" t="s">
        <v>419</v>
      </c>
      <c r="C68" s="433" t="s">
        <v>413</v>
      </c>
      <c r="D68" s="433">
        <v>24</v>
      </c>
      <c r="E68" s="433">
        <v>1083.93</v>
      </c>
      <c r="F68" s="490">
        <f t="shared" si="9"/>
        <v>26014.32</v>
      </c>
      <c r="G68" s="483">
        <v>24</v>
      </c>
      <c r="H68" s="433">
        <v>26014.320000000003</v>
      </c>
      <c r="I68" s="435">
        <f t="shared" si="10"/>
        <v>1.0000000000000002</v>
      </c>
      <c r="J68" s="433">
        <f t="shared" si="11"/>
        <v>0</v>
      </c>
      <c r="K68" s="433">
        <f t="shared" si="12"/>
        <v>0</v>
      </c>
      <c r="L68" s="435">
        <f t="shared" si="13"/>
        <v>0</v>
      </c>
      <c r="M68" s="420"/>
      <c r="N68" s="420"/>
      <c r="O68" s="420">
        <f t="shared" si="5"/>
        <v>0</v>
      </c>
      <c r="P68" s="420"/>
      <c r="R68" s="420"/>
      <c r="U68" s="402">
        <v>1083.93</v>
      </c>
    </row>
    <row r="69" spans="1:21" s="402" customFormat="1" ht="63" x14ac:dyDescent="0.2">
      <c r="A69" s="414" t="s">
        <v>420</v>
      </c>
      <c r="B69" s="432" t="s">
        <v>421</v>
      </c>
      <c r="C69" s="433" t="s">
        <v>413</v>
      </c>
      <c r="D69" s="433">
        <v>48</v>
      </c>
      <c r="E69" s="433">
        <v>775.03</v>
      </c>
      <c r="F69" s="490">
        <f t="shared" si="9"/>
        <v>37201.440000000002</v>
      </c>
      <c r="G69" s="483">
        <v>48</v>
      </c>
      <c r="H69" s="433">
        <v>37201.44000000001</v>
      </c>
      <c r="I69" s="435">
        <f t="shared" si="10"/>
        <v>1.0000000000000002</v>
      </c>
      <c r="J69" s="433">
        <f t="shared" si="11"/>
        <v>0</v>
      </c>
      <c r="K69" s="433">
        <f t="shared" si="12"/>
        <v>0</v>
      </c>
      <c r="L69" s="435">
        <f t="shared" si="13"/>
        <v>0</v>
      </c>
      <c r="M69" s="420"/>
      <c r="N69" s="420"/>
      <c r="O69" s="420">
        <f t="shared" si="5"/>
        <v>0</v>
      </c>
      <c r="P69" s="420"/>
      <c r="R69" s="420"/>
      <c r="U69" s="402">
        <v>3100.12</v>
      </c>
    </row>
    <row r="70" spans="1:21" s="402" customFormat="1" ht="47.25" x14ac:dyDescent="0.2">
      <c r="A70" s="414" t="s">
        <v>422</v>
      </c>
      <c r="B70" s="432" t="s">
        <v>423</v>
      </c>
      <c r="C70" s="433" t="s">
        <v>35</v>
      </c>
      <c r="D70" s="433">
        <v>12032.67</v>
      </c>
      <c r="E70" s="433">
        <v>25.65</v>
      </c>
      <c r="F70" s="490">
        <f t="shared" si="9"/>
        <v>308637.99</v>
      </c>
      <c r="G70" s="483">
        <v>12032.669999999998</v>
      </c>
      <c r="H70" s="433">
        <v>308637.989</v>
      </c>
      <c r="I70" s="435">
        <f t="shared" si="10"/>
        <v>0.99999999675995821</v>
      </c>
      <c r="J70" s="433">
        <f t="shared" si="11"/>
        <v>0</v>
      </c>
      <c r="K70" s="433">
        <f t="shared" si="12"/>
        <v>0</v>
      </c>
      <c r="L70" s="435">
        <f t="shared" si="13"/>
        <v>0</v>
      </c>
      <c r="M70" s="420"/>
      <c r="N70" s="420"/>
      <c r="O70" s="420">
        <f t="shared" si="5"/>
        <v>0</v>
      </c>
      <c r="P70" s="420"/>
      <c r="R70" s="420"/>
      <c r="U70" s="402">
        <v>20657.227500000001</v>
      </c>
    </row>
    <row r="71" spans="1:21" s="402" customFormat="1" ht="31.5" x14ac:dyDescent="0.2">
      <c r="A71" s="414" t="s">
        <v>424</v>
      </c>
      <c r="B71" s="432" t="s">
        <v>425</v>
      </c>
      <c r="C71" s="433" t="s">
        <v>26</v>
      </c>
      <c r="D71" s="433">
        <v>20</v>
      </c>
      <c r="E71" s="433">
        <v>16.440000000000001</v>
      </c>
      <c r="F71" s="490">
        <f t="shared" si="9"/>
        <v>328.8</v>
      </c>
      <c r="G71" s="483">
        <v>20</v>
      </c>
      <c r="H71" s="433">
        <v>328.8</v>
      </c>
      <c r="I71" s="435">
        <f t="shared" si="10"/>
        <v>1</v>
      </c>
      <c r="J71" s="433">
        <f t="shared" si="11"/>
        <v>0</v>
      </c>
      <c r="K71" s="433">
        <f t="shared" si="12"/>
        <v>0</v>
      </c>
      <c r="L71" s="435">
        <f t="shared" si="13"/>
        <v>0</v>
      </c>
      <c r="M71" s="420"/>
      <c r="N71" s="420"/>
      <c r="O71" s="420">
        <f t="shared" si="5"/>
        <v>0</v>
      </c>
      <c r="P71" s="420"/>
      <c r="R71" s="420"/>
    </row>
    <row r="72" spans="1:21" s="402" customFormat="1" ht="63" x14ac:dyDescent="0.2">
      <c r="A72" s="414" t="s">
        <v>426</v>
      </c>
      <c r="B72" s="432" t="s">
        <v>427</v>
      </c>
      <c r="C72" s="433" t="s">
        <v>26</v>
      </c>
      <c r="D72" s="433">
        <v>308.44</v>
      </c>
      <c r="E72" s="433">
        <v>239.71</v>
      </c>
      <c r="F72" s="490">
        <f t="shared" si="9"/>
        <v>73936.149999999994</v>
      </c>
      <c r="G72" s="483">
        <v>308.44</v>
      </c>
      <c r="H72" s="433">
        <v>73936.152399999992</v>
      </c>
      <c r="I72" s="435">
        <f t="shared" si="10"/>
        <v>1.0000000324604406</v>
      </c>
      <c r="J72" s="433">
        <f t="shared" si="11"/>
        <v>0</v>
      </c>
      <c r="K72" s="433">
        <f t="shared" si="12"/>
        <v>0</v>
      </c>
      <c r="L72" s="435">
        <f t="shared" si="13"/>
        <v>0</v>
      </c>
      <c r="M72" s="420"/>
      <c r="N72" s="420"/>
      <c r="O72" s="420">
        <f t="shared" si="5"/>
        <v>0</v>
      </c>
      <c r="P72" s="420"/>
      <c r="R72" s="420"/>
      <c r="U72" s="402">
        <v>33799.11</v>
      </c>
    </row>
    <row r="73" spans="1:21" ht="15.75" x14ac:dyDescent="0.2">
      <c r="A73" s="436"/>
      <c r="B73" s="422" t="s">
        <v>130</v>
      </c>
      <c r="C73" s="424"/>
      <c r="D73" s="424"/>
      <c r="E73" s="424"/>
      <c r="F73" s="427">
        <f>SUM(F57:F72)</f>
        <v>622608.38</v>
      </c>
      <c r="G73" s="485">
        <v>0</v>
      </c>
      <c r="H73" s="425">
        <v>622608.38089999999</v>
      </c>
      <c r="I73" s="429">
        <f t="shared" si="10"/>
        <v>1.0000000014455315</v>
      </c>
      <c r="J73" s="430">
        <f t="shared" si="11"/>
        <v>0</v>
      </c>
      <c r="K73" s="425">
        <f>SUM(K57:K72)</f>
        <v>0</v>
      </c>
      <c r="L73" s="429">
        <f t="shared" si="13"/>
        <v>0</v>
      </c>
      <c r="M73" s="420"/>
      <c r="N73" s="420"/>
      <c r="O73" s="420">
        <f t="shared" si="5"/>
        <v>0</v>
      </c>
      <c r="P73" s="420"/>
      <c r="R73" s="420"/>
      <c r="U73" s="386">
        <v>63896.5075</v>
      </c>
    </row>
    <row r="74" spans="1:21" ht="15.75" x14ac:dyDescent="0.2">
      <c r="A74" s="436"/>
      <c r="B74" s="439"/>
      <c r="C74" s="424"/>
      <c r="D74" s="424"/>
      <c r="E74" s="424"/>
      <c r="F74" s="491"/>
      <c r="G74" s="485">
        <v>0</v>
      </c>
      <c r="H74" s="424"/>
      <c r="I74" s="431">
        <f t="shared" si="10"/>
        <v>0</v>
      </c>
      <c r="J74" s="430">
        <f t="shared" si="11"/>
        <v>0</v>
      </c>
      <c r="K74" s="424"/>
      <c r="L74" s="431">
        <f t="shared" si="13"/>
        <v>0</v>
      </c>
      <c r="M74" s="420"/>
      <c r="N74" s="420"/>
      <c r="O74" s="420">
        <f t="shared" si="5"/>
        <v>0</v>
      </c>
      <c r="P74" s="420"/>
      <c r="R74" s="420"/>
      <c r="U74" s="386">
        <v>0</v>
      </c>
    </row>
    <row r="75" spans="1:21" ht="15.75" x14ac:dyDescent="0.2">
      <c r="A75" s="421" t="s">
        <v>428</v>
      </c>
      <c r="B75" s="422" t="s">
        <v>429</v>
      </c>
      <c r="C75" s="424">
        <v>0</v>
      </c>
      <c r="D75" s="424">
        <v>0</v>
      </c>
      <c r="E75" s="424">
        <v>0</v>
      </c>
      <c r="F75" s="491">
        <f t="shared" si="8"/>
        <v>0</v>
      </c>
      <c r="G75" s="485">
        <v>0</v>
      </c>
      <c r="H75" s="424"/>
      <c r="I75" s="431">
        <f t="shared" si="10"/>
        <v>0</v>
      </c>
      <c r="J75" s="430">
        <f t="shared" si="11"/>
        <v>0</v>
      </c>
      <c r="K75" s="424"/>
      <c r="L75" s="431">
        <f t="shared" si="13"/>
        <v>0</v>
      </c>
      <c r="M75" s="420"/>
      <c r="N75" s="420"/>
      <c r="O75" s="420">
        <f t="shared" ref="O75:O138" si="14">K75-N75</f>
        <v>0</v>
      </c>
      <c r="P75" s="420"/>
      <c r="R75" s="420"/>
      <c r="U75" s="386">
        <v>0</v>
      </c>
    </row>
    <row r="76" spans="1:21" s="402" customFormat="1" ht="31.5" x14ac:dyDescent="0.2">
      <c r="A76" s="414" t="s">
        <v>430</v>
      </c>
      <c r="B76" s="432" t="s">
        <v>431</v>
      </c>
      <c r="C76" s="433" t="s">
        <v>340</v>
      </c>
      <c r="D76" s="433">
        <v>66.785679999999999</v>
      </c>
      <c r="E76" s="433">
        <v>60.1</v>
      </c>
      <c r="F76" s="490">
        <f t="shared" ref="F76:F79" si="15">ROUND((E76*D76),2)</f>
        <v>4013.82</v>
      </c>
      <c r="G76" s="483">
        <v>66.785679999999999</v>
      </c>
      <c r="H76" s="433">
        <v>4013.8193679999999</v>
      </c>
      <c r="I76" s="435">
        <f t="shared" si="10"/>
        <v>0.99999984254401042</v>
      </c>
      <c r="J76" s="433">
        <f t="shared" si="11"/>
        <v>0</v>
      </c>
      <c r="K76" s="433">
        <f>ROUND((J76*E76),2)</f>
        <v>0</v>
      </c>
      <c r="L76" s="435">
        <f t="shared" si="13"/>
        <v>0</v>
      </c>
      <c r="M76" s="420"/>
      <c r="N76" s="420"/>
      <c r="O76" s="420">
        <f t="shared" si="14"/>
        <v>0</v>
      </c>
      <c r="P76" s="420"/>
      <c r="R76" s="420"/>
    </row>
    <row r="77" spans="1:21" s="453" customFormat="1" ht="15.75" x14ac:dyDescent="0.25">
      <c r="A77" s="455" t="s">
        <v>925</v>
      </c>
      <c r="B77" s="456" t="s">
        <v>926</v>
      </c>
      <c r="C77" s="450"/>
      <c r="D77" s="450">
        <v>0</v>
      </c>
      <c r="E77" s="450"/>
      <c r="F77" s="492"/>
      <c r="G77" s="485"/>
      <c r="H77" s="450"/>
      <c r="I77" s="451"/>
      <c r="J77" s="450"/>
      <c r="K77" s="450"/>
      <c r="L77" s="451"/>
      <c r="M77" s="452"/>
      <c r="N77" s="420"/>
      <c r="O77" s="420">
        <f t="shared" si="14"/>
        <v>0</v>
      </c>
      <c r="P77" s="452"/>
      <c r="R77" s="452"/>
    </row>
    <row r="78" spans="1:21" s="402" customFormat="1" ht="31.5" x14ac:dyDescent="0.2">
      <c r="A78" s="414" t="s">
        <v>432</v>
      </c>
      <c r="B78" s="432" t="s">
        <v>433</v>
      </c>
      <c r="C78" s="433" t="s">
        <v>434</v>
      </c>
      <c r="D78" s="433">
        <v>0.74</v>
      </c>
      <c r="E78" s="433">
        <v>221.02</v>
      </c>
      <c r="F78" s="490">
        <f t="shared" si="15"/>
        <v>163.55000000000001</v>
      </c>
      <c r="G78" s="483">
        <v>0.74</v>
      </c>
      <c r="H78" s="433">
        <v>163.5548</v>
      </c>
      <c r="I78" s="435">
        <f>IF(F78=0,0,H78/F78)</f>
        <v>1.0000293488229899</v>
      </c>
      <c r="J78" s="433">
        <f>D78-G78</f>
        <v>0</v>
      </c>
      <c r="K78" s="433">
        <f>ROUND((J78*E78),2)</f>
        <v>0</v>
      </c>
      <c r="L78" s="435">
        <f>IF(F78=0,0,K78/F78)</f>
        <v>0</v>
      </c>
      <c r="M78" s="420"/>
      <c r="N78" s="420"/>
      <c r="O78" s="420">
        <f t="shared" si="14"/>
        <v>0</v>
      </c>
      <c r="P78" s="420"/>
      <c r="R78" s="420"/>
    </row>
    <row r="79" spans="1:21" s="402" customFormat="1" ht="31.5" x14ac:dyDescent="0.2">
      <c r="A79" s="414" t="s">
        <v>435</v>
      </c>
      <c r="B79" s="432" t="s">
        <v>436</v>
      </c>
      <c r="C79" s="433" t="s">
        <v>340</v>
      </c>
      <c r="D79" s="433">
        <v>27.112146000000003</v>
      </c>
      <c r="E79" s="433">
        <v>64.739999999999995</v>
      </c>
      <c r="F79" s="490">
        <f t="shared" si="15"/>
        <v>1755.24</v>
      </c>
      <c r="G79" s="483">
        <v>27.112146000000003</v>
      </c>
      <c r="H79" s="433">
        <v>1755.2403320399999</v>
      </c>
      <c r="I79" s="435">
        <f>IF(F79=0,0,H79/F79)</f>
        <v>1.0000001891707115</v>
      </c>
      <c r="J79" s="433">
        <f>D79-G79</f>
        <v>0</v>
      </c>
      <c r="K79" s="433">
        <f>ROUND((J79*E79),2)</f>
        <v>0</v>
      </c>
      <c r="L79" s="435">
        <f>IF(F79=0,0,K79/F79)</f>
        <v>0</v>
      </c>
      <c r="M79" s="420"/>
      <c r="N79" s="420"/>
      <c r="O79" s="420">
        <f t="shared" si="14"/>
        <v>0</v>
      </c>
      <c r="P79" s="420"/>
      <c r="R79" s="420"/>
    </row>
    <row r="80" spans="1:21" ht="15.75" x14ac:dyDescent="0.25">
      <c r="A80" s="463" t="s">
        <v>927</v>
      </c>
      <c r="B80" s="461" t="s">
        <v>928</v>
      </c>
      <c r="C80" s="424"/>
      <c r="D80" s="424"/>
      <c r="E80" s="424"/>
      <c r="F80" s="491"/>
      <c r="G80" s="440"/>
      <c r="H80" s="424"/>
      <c r="I80" s="431"/>
      <c r="J80" s="424"/>
      <c r="K80" s="424"/>
      <c r="L80" s="431"/>
      <c r="M80" s="420"/>
      <c r="N80" s="420"/>
      <c r="O80" s="420">
        <f t="shared" si="14"/>
        <v>0</v>
      </c>
      <c r="P80" s="420"/>
      <c r="R80" s="420"/>
    </row>
    <row r="81" spans="1:21" s="402" customFormat="1" ht="63" x14ac:dyDescent="0.2">
      <c r="A81" s="414" t="s">
        <v>437</v>
      </c>
      <c r="B81" s="432" t="s">
        <v>438</v>
      </c>
      <c r="C81" s="433" t="s">
        <v>340</v>
      </c>
      <c r="D81" s="433">
        <v>310</v>
      </c>
      <c r="E81" s="433">
        <v>85.54</v>
      </c>
      <c r="F81" s="490">
        <f>ROUND((E81*D81),2)</f>
        <v>26517.4</v>
      </c>
      <c r="G81" s="483">
        <v>309.99919999999997</v>
      </c>
      <c r="H81" s="433">
        <v>26517.401567999997</v>
      </c>
      <c r="I81" s="435">
        <f>IF(F81=0,0,H81/F81)</f>
        <v>1.0000000591309854</v>
      </c>
      <c r="J81" s="433"/>
      <c r="K81" s="433"/>
      <c r="L81" s="435">
        <f>IF(F81=0,0,K81/F81)</f>
        <v>0</v>
      </c>
      <c r="M81" s="460" t="e">
        <f>#REF!+#REF!+#REF!+#REF!+#REF!+#REF!+#REF!+#REF!+#REF!</f>
        <v>#REF!</v>
      </c>
      <c r="N81" s="420"/>
      <c r="O81" s="420">
        <f t="shared" si="14"/>
        <v>0</v>
      </c>
      <c r="P81" s="420"/>
      <c r="R81" s="420"/>
      <c r="U81" s="402">
        <v>1710.8000000000002</v>
      </c>
    </row>
    <row r="82" spans="1:21" ht="15.75" x14ac:dyDescent="0.2">
      <c r="A82" s="436"/>
      <c r="B82" s="422" t="s">
        <v>131</v>
      </c>
      <c r="C82" s="424"/>
      <c r="D82" s="424"/>
      <c r="E82" s="424"/>
      <c r="F82" s="427">
        <f>SUM(F76:F81)</f>
        <v>32450.010000000002</v>
      </c>
      <c r="G82" s="485">
        <v>0</v>
      </c>
      <c r="H82" s="426">
        <v>32450.016068039997</v>
      </c>
      <c r="I82" s="429">
        <f>IF(F82=0,0,H82/F82)</f>
        <v>1.0000001869965525</v>
      </c>
      <c r="J82" s="430">
        <f>D82-G82</f>
        <v>0</v>
      </c>
      <c r="K82" s="425">
        <f>SUM(K76:K81)</f>
        <v>0</v>
      </c>
      <c r="L82" s="429">
        <f>IF(F82=0,0,K82/F82)</f>
        <v>0</v>
      </c>
      <c r="M82" s="420"/>
      <c r="N82" s="420"/>
      <c r="O82" s="420">
        <f t="shared" si="14"/>
        <v>0</v>
      </c>
      <c r="P82" s="420"/>
      <c r="R82" s="420"/>
      <c r="U82" s="386">
        <v>1710.8000000000002</v>
      </c>
    </row>
    <row r="83" spans="1:21" ht="15.75" x14ac:dyDescent="0.2">
      <c r="A83" s="436"/>
      <c r="B83" s="422"/>
      <c r="C83" s="424"/>
      <c r="D83" s="424"/>
      <c r="E83" s="424"/>
      <c r="F83" s="427"/>
      <c r="G83" s="485">
        <v>0</v>
      </c>
      <c r="H83" s="424"/>
      <c r="I83" s="429"/>
      <c r="J83" s="430">
        <f>D83-G83</f>
        <v>0</v>
      </c>
      <c r="K83" s="426"/>
      <c r="L83" s="431">
        <f>IF(F83=0,0,K83/F83)</f>
        <v>0</v>
      </c>
      <c r="M83" s="420"/>
      <c r="N83" s="420"/>
      <c r="O83" s="420">
        <f t="shared" si="14"/>
        <v>0</v>
      </c>
      <c r="P83" s="420"/>
      <c r="R83" s="420"/>
    </row>
    <row r="84" spans="1:21" ht="15.75" x14ac:dyDescent="0.2">
      <c r="A84" s="421" t="s">
        <v>439</v>
      </c>
      <c r="B84" s="422" t="s">
        <v>440</v>
      </c>
      <c r="C84" s="424"/>
      <c r="D84" s="424"/>
      <c r="E84" s="424"/>
      <c r="F84" s="491"/>
      <c r="G84" s="485">
        <v>0</v>
      </c>
      <c r="H84" s="424"/>
      <c r="I84" s="431">
        <f t="shared" ref="I84:I91" si="16">IF(F84=0,0,H84/F84)</f>
        <v>0</v>
      </c>
      <c r="J84" s="430">
        <f>D84-G84</f>
        <v>0</v>
      </c>
      <c r="K84" s="424"/>
      <c r="L84" s="431">
        <f>IF(F84=0,0,K84/F84)</f>
        <v>0</v>
      </c>
      <c r="M84" s="420"/>
      <c r="N84" s="420"/>
      <c r="O84" s="420">
        <f t="shared" si="14"/>
        <v>0</v>
      </c>
      <c r="P84" s="420"/>
      <c r="R84" s="420"/>
      <c r="U84" s="386">
        <v>0</v>
      </c>
    </row>
    <row r="85" spans="1:21" s="402" customFormat="1" ht="47.25" x14ac:dyDescent="0.2">
      <c r="A85" s="414" t="s">
        <v>441</v>
      </c>
      <c r="B85" s="432" t="s">
        <v>442</v>
      </c>
      <c r="C85" s="433" t="s">
        <v>340</v>
      </c>
      <c r="D85" s="433">
        <v>0.68</v>
      </c>
      <c r="E85" s="433">
        <v>786.16</v>
      </c>
      <c r="F85" s="490">
        <f>ROUND((E85*D85),2)</f>
        <v>534.59</v>
      </c>
      <c r="G85" s="483">
        <v>0.68400000000000005</v>
      </c>
      <c r="H85" s="433">
        <v>534.59343999999999</v>
      </c>
      <c r="I85" s="435">
        <f t="shared" si="16"/>
        <v>1.0000064348379132</v>
      </c>
      <c r="J85" s="433"/>
      <c r="K85" s="433"/>
      <c r="L85" s="435"/>
      <c r="M85" s="420"/>
      <c r="N85" s="420"/>
      <c r="O85" s="420">
        <f t="shared" si="14"/>
        <v>0</v>
      </c>
      <c r="P85" s="420"/>
      <c r="R85" s="420"/>
      <c r="U85" s="402">
        <v>0</v>
      </c>
    </row>
    <row r="86" spans="1:21" s="402" customFormat="1" ht="47.25" x14ac:dyDescent="0.2">
      <c r="A86" s="414" t="s">
        <v>443</v>
      </c>
      <c r="B86" s="432" t="s">
        <v>444</v>
      </c>
      <c r="C86" s="433" t="s">
        <v>35</v>
      </c>
      <c r="D86" s="433">
        <v>21.58</v>
      </c>
      <c r="E86" s="433">
        <v>93.55</v>
      </c>
      <c r="F86" s="490">
        <f t="shared" ref="F86:F105" si="17">ROUND((E86*D86),2)</f>
        <v>2018.81</v>
      </c>
      <c r="G86" s="483">
        <v>20.463999999999999</v>
      </c>
      <c r="H86" s="433">
        <v>1914.4071999999999</v>
      </c>
      <c r="I86" s="435">
        <f t="shared" si="16"/>
        <v>0.94828497976530723</v>
      </c>
      <c r="J86" s="433">
        <f t="shared" ref="J86:J91" si="18">D86-G86</f>
        <v>1.1159999999999997</v>
      </c>
      <c r="K86" s="433">
        <f t="shared" ref="K86:K91" si="19">ROUND((J86*E86),2)</f>
        <v>104.4</v>
      </c>
      <c r="L86" s="435">
        <f t="shared" ref="L86:L91" si="20">IF(F86=0,0,K86/F86)</f>
        <v>5.1713633279010907E-2</v>
      </c>
      <c r="M86" s="420"/>
      <c r="N86" s="420"/>
      <c r="O86" s="420">
        <f t="shared" si="14"/>
        <v>104.4</v>
      </c>
      <c r="P86" s="420"/>
      <c r="R86" s="420"/>
    </row>
    <row r="87" spans="1:21" s="402" customFormat="1" ht="31.5" x14ac:dyDescent="0.2">
      <c r="A87" s="414" t="s">
        <v>445</v>
      </c>
      <c r="B87" s="432" t="s">
        <v>446</v>
      </c>
      <c r="C87" s="433" t="s">
        <v>447</v>
      </c>
      <c r="D87" s="433">
        <v>203.36</v>
      </c>
      <c r="E87" s="433">
        <v>13.25</v>
      </c>
      <c r="F87" s="490">
        <f t="shared" si="17"/>
        <v>2694.52</v>
      </c>
      <c r="G87" s="483">
        <v>98.377358490566039</v>
      </c>
      <c r="H87" s="433">
        <v>1303.5</v>
      </c>
      <c r="I87" s="435">
        <f t="shared" si="16"/>
        <v>0.48375963065777949</v>
      </c>
      <c r="J87" s="433">
        <f t="shared" si="18"/>
        <v>104.98264150943398</v>
      </c>
      <c r="K87" s="433">
        <f t="shared" si="19"/>
        <v>1391.02</v>
      </c>
      <c r="L87" s="435">
        <f t="shared" si="20"/>
        <v>0.51624036934222051</v>
      </c>
      <c r="M87" s="420"/>
      <c r="N87" s="488">
        <f>542.51</f>
        <v>542.51</v>
      </c>
      <c r="O87" s="420">
        <f t="shared" si="14"/>
        <v>848.51</v>
      </c>
      <c r="P87" s="420"/>
      <c r="R87" s="420"/>
    </row>
    <row r="88" spans="1:21" s="402" customFormat="1" ht="31.5" x14ac:dyDescent="0.2">
      <c r="A88" s="414" t="s">
        <v>448</v>
      </c>
      <c r="B88" s="432" t="s">
        <v>449</v>
      </c>
      <c r="C88" s="433" t="s">
        <v>447</v>
      </c>
      <c r="D88" s="433">
        <v>40.64</v>
      </c>
      <c r="E88" s="433">
        <v>13.78</v>
      </c>
      <c r="F88" s="490">
        <f t="shared" si="17"/>
        <v>560.02</v>
      </c>
      <c r="G88" s="483">
        <v>18.3384</v>
      </c>
      <c r="H88" s="433">
        <v>252.70315199999999</v>
      </c>
      <c r="I88" s="435">
        <f t="shared" si="16"/>
        <v>0.45123951287454017</v>
      </c>
      <c r="J88" s="433">
        <f t="shared" si="18"/>
        <v>22.301600000000001</v>
      </c>
      <c r="K88" s="433">
        <f t="shared" si="19"/>
        <v>307.32</v>
      </c>
      <c r="L88" s="435">
        <f t="shared" si="20"/>
        <v>0.54876611549587517</v>
      </c>
      <c r="M88" s="420"/>
      <c r="N88" s="420">
        <f>H87+N87</f>
        <v>1846.01</v>
      </c>
      <c r="O88" s="420">
        <f t="shared" si="14"/>
        <v>-1538.69</v>
      </c>
      <c r="P88" s="420"/>
      <c r="R88" s="420"/>
    </row>
    <row r="89" spans="1:21" s="402" customFormat="1" ht="31.5" x14ac:dyDescent="0.2">
      <c r="A89" s="414" t="s">
        <v>450</v>
      </c>
      <c r="B89" s="432" t="s">
        <v>451</v>
      </c>
      <c r="C89" s="433" t="s">
        <v>340</v>
      </c>
      <c r="D89" s="433">
        <v>3.63</v>
      </c>
      <c r="E89" s="433">
        <v>871.27</v>
      </c>
      <c r="F89" s="490">
        <f t="shared" si="17"/>
        <v>3162.71</v>
      </c>
      <c r="G89" s="483">
        <v>3.63</v>
      </c>
      <c r="H89" s="433">
        <v>3162.7100999999998</v>
      </c>
      <c r="I89" s="435">
        <f t="shared" si="16"/>
        <v>1.0000000316184536</v>
      </c>
      <c r="J89" s="433">
        <f t="shared" si="18"/>
        <v>0</v>
      </c>
      <c r="K89" s="433">
        <f t="shared" si="19"/>
        <v>0</v>
      </c>
      <c r="L89" s="435">
        <f t="shared" si="20"/>
        <v>0</v>
      </c>
      <c r="M89" s="420"/>
      <c r="N89" s="420"/>
      <c r="O89" s="420">
        <f t="shared" si="14"/>
        <v>0</v>
      </c>
      <c r="P89" s="420"/>
      <c r="R89" s="420"/>
    </row>
    <row r="90" spans="1:21" s="402" customFormat="1" ht="34.5" customHeight="1" x14ac:dyDescent="0.2">
      <c r="A90" s="414" t="s">
        <v>452</v>
      </c>
      <c r="B90" s="462" t="s">
        <v>453</v>
      </c>
      <c r="C90" s="433" t="s">
        <v>35</v>
      </c>
      <c r="D90" s="433">
        <v>954.1</v>
      </c>
      <c r="E90" s="433">
        <v>6.12</v>
      </c>
      <c r="F90" s="490">
        <f t="shared" si="17"/>
        <v>5839.09</v>
      </c>
      <c r="G90" s="483">
        <v>954.1</v>
      </c>
      <c r="H90" s="433">
        <v>5839.0920000000006</v>
      </c>
      <c r="I90" s="435">
        <f t="shared" si="16"/>
        <v>1.0000003425191255</v>
      </c>
      <c r="J90" s="433">
        <f t="shared" si="18"/>
        <v>0</v>
      </c>
      <c r="K90" s="433">
        <f t="shared" si="19"/>
        <v>0</v>
      </c>
      <c r="L90" s="435">
        <f t="shared" si="20"/>
        <v>0</v>
      </c>
      <c r="M90" s="420"/>
      <c r="N90" s="420"/>
      <c r="O90" s="420">
        <f t="shared" si="14"/>
        <v>0</v>
      </c>
      <c r="P90" s="420"/>
      <c r="R90" s="420"/>
      <c r="U90" s="402">
        <v>2267.46</v>
      </c>
    </row>
    <row r="91" spans="1:21" s="402" customFormat="1" ht="31.5" x14ac:dyDescent="0.2">
      <c r="A91" s="414" t="s">
        <v>454</v>
      </c>
      <c r="B91" s="432" t="s">
        <v>455</v>
      </c>
      <c r="C91" s="433" t="s">
        <v>447</v>
      </c>
      <c r="D91" s="433">
        <v>14.3</v>
      </c>
      <c r="E91" s="433">
        <v>29.45</v>
      </c>
      <c r="F91" s="490">
        <f t="shared" si="17"/>
        <v>421.14</v>
      </c>
      <c r="G91" s="483">
        <v>14.3</v>
      </c>
      <c r="H91" s="433">
        <v>421.13499999999999</v>
      </c>
      <c r="I91" s="435">
        <f t="shared" si="16"/>
        <v>0.99998812746355137</v>
      </c>
      <c r="J91" s="433">
        <f t="shared" si="18"/>
        <v>0</v>
      </c>
      <c r="K91" s="433">
        <f t="shared" si="19"/>
        <v>0</v>
      </c>
      <c r="L91" s="435">
        <f t="shared" si="20"/>
        <v>0</v>
      </c>
      <c r="M91" s="420"/>
      <c r="N91" s="420"/>
      <c r="O91" s="420">
        <f t="shared" si="14"/>
        <v>0</v>
      </c>
      <c r="P91" s="420"/>
      <c r="R91" s="420"/>
    </row>
    <row r="92" spans="1:21" s="459" customFormat="1" ht="15.75" x14ac:dyDescent="0.25">
      <c r="A92" s="455" t="s">
        <v>929</v>
      </c>
      <c r="B92" s="456" t="s">
        <v>930</v>
      </c>
      <c r="C92" s="457"/>
      <c r="D92" s="457">
        <v>0</v>
      </c>
      <c r="E92" s="457"/>
      <c r="F92" s="493"/>
      <c r="G92" s="486"/>
      <c r="H92" s="438"/>
      <c r="I92" s="443"/>
      <c r="J92" s="457"/>
      <c r="K92" s="457"/>
      <c r="L92" s="443"/>
      <c r="M92" s="458"/>
      <c r="N92" s="420"/>
      <c r="O92" s="420">
        <f t="shared" si="14"/>
        <v>0</v>
      </c>
      <c r="P92" s="458"/>
      <c r="R92" s="458"/>
    </row>
    <row r="93" spans="1:21" s="402" customFormat="1" ht="78.75" x14ac:dyDescent="0.2">
      <c r="A93" s="414">
        <v>40201</v>
      </c>
      <c r="B93" s="432" t="s">
        <v>456</v>
      </c>
      <c r="C93" s="433" t="s">
        <v>35</v>
      </c>
      <c r="D93" s="433">
        <v>274.79000000000002</v>
      </c>
      <c r="E93" s="433">
        <v>157.27000000000001</v>
      </c>
      <c r="F93" s="490">
        <f t="shared" si="17"/>
        <v>43216.22</v>
      </c>
      <c r="G93" s="483">
        <v>144.79000000000002</v>
      </c>
      <c r="H93" s="433">
        <v>22771.123300000003</v>
      </c>
      <c r="I93" s="435">
        <f>IF(F93=0,0,H93/F93)</f>
        <v>0.52691149989517827</v>
      </c>
      <c r="J93" s="433">
        <f>D93-G93</f>
        <v>130</v>
      </c>
      <c r="K93" s="433">
        <f>ROUND((J93*E93),2)</f>
        <v>20445.099999999999</v>
      </c>
      <c r="L93" s="435">
        <f>IF(F93=0,0,K93/F93)</f>
        <v>0.47308857646504016</v>
      </c>
      <c r="M93" s="420"/>
      <c r="N93" s="420"/>
      <c r="O93" s="420">
        <f t="shared" si="14"/>
        <v>20445.099999999999</v>
      </c>
      <c r="P93" s="420"/>
      <c r="R93" s="420"/>
    </row>
    <row r="94" spans="1:21" s="402" customFormat="1" ht="31.5" x14ac:dyDescent="0.2">
      <c r="A94" s="414">
        <v>40202</v>
      </c>
      <c r="B94" s="432" t="s">
        <v>446</v>
      </c>
      <c r="C94" s="433" t="s">
        <v>447</v>
      </c>
      <c r="D94" s="433">
        <v>1120.24</v>
      </c>
      <c r="E94" s="433">
        <v>13.25</v>
      </c>
      <c r="F94" s="490">
        <f t="shared" si="17"/>
        <v>14843.18</v>
      </c>
      <c r="G94" s="483">
        <v>419.41320000000002</v>
      </c>
      <c r="H94" s="433">
        <v>5557.2249000000002</v>
      </c>
      <c r="I94" s="435">
        <f>IF(F94=0,0,H94/F94)</f>
        <v>0.37439584374776835</v>
      </c>
      <c r="J94" s="433">
        <f>D94-G94</f>
        <v>700.82680000000005</v>
      </c>
      <c r="K94" s="433">
        <f>ROUND((J94*E94),2)</f>
        <v>9285.9599999999991</v>
      </c>
      <c r="L94" s="435">
        <f>IF(F94=0,0,K94/F94)</f>
        <v>0.6256044863701713</v>
      </c>
      <c r="M94" s="420"/>
      <c r="N94" s="420"/>
      <c r="O94" s="420">
        <f t="shared" si="14"/>
        <v>9285.9599999999991</v>
      </c>
      <c r="P94" s="420">
        <v>1130.33</v>
      </c>
      <c r="R94" s="420"/>
    </row>
    <row r="95" spans="1:21" s="402" customFormat="1" ht="31.5" x14ac:dyDescent="0.2">
      <c r="A95" s="414" t="s">
        <v>457</v>
      </c>
      <c r="B95" s="432" t="s">
        <v>449</v>
      </c>
      <c r="C95" s="433" t="s">
        <v>447</v>
      </c>
      <c r="D95" s="433">
        <v>138.04</v>
      </c>
      <c r="E95" s="433">
        <v>13.78</v>
      </c>
      <c r="F95" s="490">
        <f t="shared" si="17"/>
        <v>1902.19</v>
      </c>
      <c r="G95" s="483">
        <v>116.5624</v>
      </c>
      <c r="H95" s="433">
        <v>1606.2298719999999</v>
      </c>
      <c r="I95" s="435">
        <f>IF(F95=0,0,H95/F95)</f>
        <v>0.84441084854825221</v>
      </c>
      <c r="J95" s="433">
        <f>D95-G95</f>
        <v>21.477599999999995</v>
      </c>
      <c r="K95" s="433">
        <f>ROUND((J95*E95),2)</f>
        <v>295.95999999999998</v>
      </c>
      <c r="L95" s="435">
        <f>IF(F95=0,0,K95/F95)</f>
        <v>0.15558908416088824</v>
      </c>
      <c r="M95" s="420"/>
      <c r="N95" s="420"/>
      <c r="O95" s="420">
        <f t="shared" si="14"/>
        <v>295.95999999999998</v>
      </c>
      <c r="P95" s="420">
        <v>3000</v>
      </c>
      <c r="R95" s="420"/>
      <c r="U95" s="402">
        <v>0</v>
      </c>
    </row>
    <row r="96" spans="1:21" s="402" customFormat="1" ht="31.5" x14ac:dyDescent="0.2">
      <c r="A96" s="414" t="s">
        <v>458</v>
      </c>
      <c r="B96" s="432" t="s">
        <v>451</v>
      </c>
      <c r="C96" s="433" t="s">
        <v>340</v>
      </c>
      <c r="D96" s="433">
        <v>7.47</v>
      </c>
      <c r="E96" s="433">
        <v>988.55</v>
      </c>
      <c r="F96" s="490">
        <f t="shared" si="17"/>
        <v>7384.47</v>
      </c>
      <c r="G96" s="483">
        <v>7.47</v>
      </c>
      <c r="H96" s="433">
        <v>7384.468499999999</v>
      </c>
      <c r="I96" s="435">
        <f>IF(F96=0,0,H96/F96)</f>
        <v>0.99999979687100071</v>
      </c>
      <c r="J96" s="433">
        <f>D96-G96</f>
        <v>0</v>
      </c>
      <c r="K96" s="433">
        <f>ROUND((J96*E96),2)</f>
        <v>0</v>
      </c>
      <c r="L96" s="435">
        <f>IF(F96=0,0,K96/F96)</f>
        <v>0</v>
      </c>
      <c r="M96" s="420"/>
      <c r="N96" s="420"/>
      <c r="O96" s="420">
        <f t="shared" si="14"/>
        <v>0</v>
      </c>
      <c r="P96" s="420">
        <v>433.8</v>
      </c>
      <c r="R96" s="420"/>
      <c r="U96" s="402">
        <v>0</v>
      </c>
    </row>
    <row r="97" spans="1:21" s="453" customFormat="1" ht="15.75" x14ac:dyDescent="0.25">
      <c r="A97" s="455" t="s">
        <v>931</v>
      </c>
      <c r="B97" s="456" t="s">
        <v>932</v>
      </c>
      <c r="C97" s="450"/>
      <c r="D97" s="450">
        <v>0</v>
      </c>
      <c r="E97" s="450"/>
      <c r="F97" s="492"/>
      <c r="G97" s="485"/>
      <c r="H97" s="450"/>
      <c r="I97" s="451"/>
      <c r="J97" s="450"/>
      <c r="K97" s="450"/>
      <c r="L97" s="451"/>
      <c r="M97" s="452"/>
      <c r="N97" s="420"/>
      <c r="O97" s="420">
        <f t="shared" si="14"/>
        <v>0</v>
      </c>
      <c r="P97" s="452">
        <f>SUM(P94:P96)</f>
        <v>4564.13</v>
      </c>
      <c r="R97" s="452"/>
    </row>
    <row r="98" spans="1:21" s="402" customFormat="1" ht="31.5" x14ac:dyDescent="0.2">
      <c r="A98" s="414" t="s">
        <v>459</v>
      </c>
      <c r="B98" s="432" t="s">
        <v>460</v>
      </c>
      <c r="C98" s="433" t="s">
        <v>340</v>
      </c>
      <c r="D98" s="433">
        <v>17.03</v>
      </c>
      <c r="E98" s="433">
        <v>3119.62</v>
      </c>
      <c r="F98" s="490">
        <f t="shared" si="17"/>
        <v>53127.13</v>
      </c>
      <c r="G98" s="483">
        <v>11.3</v>
      </c>
      <c r="H98" s="433">
        <v>35251.705999999998</v>
      </c>
      <c r="I98" s="435">
        <f t="shared" ref="I98:I106" si="21">IF(F98=0,0,H98/F98)</f>
        <v>0.66353492085870247</v>
      </c>
      <c r="J98" s="433">
        <f t="shared" ref="J98:J106" si="22">D98-G98</f>
        <v>5.73</v>
      </c>
      <c r="K98" s="433">
        <f t="shared" ref="K98:K105" si="23">ROUND((J98*E98),2)</f>
        <v>17875.419999999998</v>
      </c>
      <c r="L98" s="435">
        <f t="shared" ref="L98:L106" si="24">IF(F98=0,0,K98/F98)</f>
        <v>0.33646500385019856</v>
      </c>
      <c r="M98" s="420"/>
      <c r="N98" s="420"/>
      <c r="O98" s="420">
        <f t="shared" si="14"/>
        <v>17875.419999999998</v>
      </c>
      <c r="P98" s="420">
        <f>P97/2</f>
        <v>2282.0650000000001</v>
      </c>
      <c r="R98" s="420"/>
      <c r="U98" s="402">
        <v>0</v>
      </c>
    </row>
    <row r="99" spans="1:21" s="402" customFormat="1" ht="15.75" x14ac:dyDescent="0.2">
      <c r="A99" s="414" t="s">
        <v>461</v>
      </c>
      <c r="B99" s="432" t="s">
        <v>462</v>
      </c>
      <c r="C99" s="433" t="s">
        <v>447</v>
      </c>
      <c r="D99" s="433">
        <v>570.33000000000004</v>
      </c>
      <c r="E99" s="433">
        <v>5.5</v>
      </c>
      <c r="F99" s="490">
        <f t="shared" si="17"/>
        <v>3136.82</v>
      </c>
      <c r="G99" s="483">
        <v>0</v>
      </c>
      <c r="H99" s="433">
        <v>0</v>
      </c>
      <c r="I99" s="435">
        <f t="shared" si="21"/>
        <v>0</v>
      </c>
      <c r="J99" s="433">
        <f t="shared" si="22"/>
        <v>570.33000000000004</v>
      </c>
      <c r="K99" s="433">
        <f t="shared" si="23"/>
        <v>3136.82</v>
      </c>
      <c r="L99" s="435">
        <f t="shared" si="24"/>
        <v>1</v>
      </c>
      <c r="M99" s="420"/>
      <c r="N99" s="420"/>
      <c r="O99" s="420">
        <f t="shared" si="14"/>
        <v>3136.82</v>
      </c>
      <c r="P99" s="420"/>
      <c r="R99" s="420"/>
    </row>
    <row r="100" spans="1:21" s="402" customFormat="1" ht="47.25" x14ac:dyDescent="0.2">
      <c r="A100" s="414" t="s">
        <v>463</v>
      </c>
      <c r="B100" s="432" t="s">
        <v>464</v>
      </c>
      <c r="C100" s="433" t="s">
        <v>35</v>
      </c>
      <c r="D100" s="433">
        <v>24.44</v>
      </c>
      <c r="E100" s="433">
        <v>27.75</v>
      </c>
      <c r="F100" s="490">
        <f t="shared" si="17"/>
        <v>678.21</v>
      </c>
      <c r="G100" s="483">
        <v>14.920000000000002</v>
      </c>
      <c r="H100" s="433">
        <v>414.03000000000003</v>
      </c>
      <c r="I100" s="435">
        <f t="shared" si="21"/>
        <v>0.61047463175122751</v>
      </c>
      <c r="J100" s="433">
        <f t="shared" si="22"/>
        <v>9.52</v>
      </c>
      <c r="K100" s="433">
        <f t="shared" si="23"/>
        <v>264.18</v>
      </c>
      <c r="L100" s="435">
        <f t="shared" si="24"/>
        <v>0.38952536824877249</v>
      </c>
      <c r="M100" s="420"/>
      <c r="N100" s="420"/>
      <c r="O100" s="420">
        <f t="shared" si="14"/>
        <v>264.18</v>
      </c>
      <c r="P100" s="420"/>
      <c r="R100" s="420"/>
    </row>
    <row r="101" spans="1:21" s="402" customFormat="1" ht="31.5" x14ac:dyDescent="0.2">
      <c r="A101" s="414" t="s">
        <v>465</v>
      </c>
      <c r="B101" s="432" t="s">
        <v>466</v>
      </c>
      <c r="C101" s="433" t="s">
        <v>35</v>
      </c>
      <c r="D101" s="433">
        <v>24.44</v>
      </c>
      <c r="E101" s="433">
        <v>92.04</v>
      </c>
      <c r="F101" s="490">
        <f t="shared" si="17"/>
        <v>2249.46</v>
      </c>
      <c r="G101" s="483">
        <v>14.920000000000002</v>
      </c>
      <c r="H101" s="433">
        <v>1373.2368000000004</v>
      </c>
      <c r="I101" s="435">
        <f t="shared" si="21"/>
        <v>0.6104739804219681</v>
      </c>
      <c r="J101" s="433">
        <f t="shared" si="22"/>
        <v>9.52</v>
      </c>
      <c r="K101" s="433">
        <f t="shared" si="23"/>
        <v>876.22</v>
      </c>
      <c r="L101" s="435">
        <f t="shared" si="24"/>
        <v>0.38952459701439457</v>
      </c>
      <c r="M101" s="420"/>
      <c r="N101" s="420"/>
      <c r="O101" s="420">
        <f t="shared" si="14"/>
        <v>876.22</v>
      </c>
      <c r="P101" s="420"/>
      <c r="R101" s="420"/>
    </row>
    <row r="102" spans="1:21" s="402" customFormat="1" ht="31.5" x14ac:dyDescent="0.2">
      <c r="A102" s="414" t="s">
        <v>467</v>
      </c>
      <c r="B102" s="432" t="s">
        <v>468</v>
      </c>
      <c r="C102" s="433" t="s">
        <v>340</v>
      </c>
      <c r="D102" s="433">
        <v>0.53</v>
      </c>
      <c r="E102" s="433">
        <v>8927.27</v>
      </c>
      <c r="F102" s="490">
        <f t="shared" si="17"/>
        <v>4731.45</v>
      </c>
      <c r="G102" s="483">
        <v>0.06</v>
      </c>
      <c r="H102" s="433">
        <v>535.63620000000003</v>
      </c>
      <c r="I102" s="435">
        <f t="shared" si="21"/>
        <v>0.11320762134229466</v>
      </c>
      <c r="J102" s="433">
        <f t="shared" si="22"/>
        <v>0.47000000000000003</v>
      </c>
      <c r="K102" s="433">
        <f t="shared" si="23"/>
        <v>4195.82</v>
      </c>
      <c r="L102" s="435">
        <f t="shared" si="24"/>
        <v>0.88679368903824407</v>
      </c>
      <c r="M102" s="420"/>
      <c r="N102" s="420"/>
      <c r="O102" s="420">
        <f t="shared" si="14"/>
        <v>4195.82</v>
      </c>
      <c r="P102" s="420"/>
      <c r="R102" s="420"/>
    </row>
    <row r="103" spans="1:21" s="402" customFormat="1" ht="47.25" x14ac:dyDescent="0.2">
      <c r="A103" s="414" t="s">
        <v>469</v>
      </c>
      <c r="B103" s="432" t="s">
        <v>470</v>
      </c>
      <c r="C103" s="433" t="s">
        <v>340</v>
      </c>
      <c r="D103" s="433">
        <v>16.5</v>
      </c>
      <c r="E103" s="433">
        <v>4034.39</v>
      </c>
      <c r="F103" s="490">
        <f t="shared" si="17"/>
        <v>66567.44</v>
      </c>
      <c r="G103" s="483">
        <v>13.42</v>
      </c>
      <c r="H103" s="433">
        <v>54141.513800000001</v>
      </c>
      <c r="I103" s="435">
        <f t="shared" si="21"/>
        <v>0.81333327224240559</v>
      </c>
      <c r="J103" s="433">
        <f t="shared" si="22"/>
        <v>3.08</v>
      </c>
      <c r="K103" s="433">
        <f t="shared" si="23"/>
        <v>12425.92</v>
      </c>
      <c r="L103" s="435">
        <f t="shared" si="24"/>
        <v>0.18666663461896688</v>
      </c>
      <c r="M103" s="420"/>
      <c r="N103" s="420"/>
      <c r="O103" s="420">
        <f t="shared" si="14"/>
        <v>12425.92</v>
      </c>
      <c r="P103" s="420"/>
      <c r="R103" s="420"/>
    </row>
    <row r="104" spans="1:21" s="402" customFormat="1" ht="49.5" customHeight="1" x14ac:dyDescent="0.2">
      <c r="A104" s="414" t="s">
        <v>471</v>
      </c>
      <c r="B104" s="432" t="s">
        <v>472</v>
      </c>
      <c r="C104" s="433" t="s">
        <v>23</v>
      </c>
      <c r="D104" s="433">
        <v>1506</v>
      </c>
      <c r="E104" s="433">
        <v>21.24</v>
      </c>
      <c r="F104" s="490">
        <f t="shared" si="17"/>
        <v>31987.439999999999</v>
      </c>
      <c r="G104" s="483">
        <v>919</v>
      </c>
      <c r="H104" s="433">
        <v>19519.559999999998</v>
      </c>
      <c r="I104" s="435">
        <f t="shared" si="21"/>
        <v>0.6102257636122177</v>
      </c>
      <c r="J104" s="433">
        <f t="shared" si="22"/>
        <v>587</v>
      </c>
      <c r="K104" s="433">
        <f t="shared" si="23"/>
        <v>12467.88</v>
      </c>
      <c r="L104" s="435">
        <f t="shared" si="24"/>
        <v>0.38977423638778219</v>
      </c>
      <c r="M104" s="420"/>
      <c r="N104" s="420"/>
      <c r="O104" s="420">
        <f t="shared" si="14"/>
        <v>12467.88</v>
      </c>
      <c r="P104" s="420"/>
      <c r="R104" s="420"/>
    </row>
    <row r="105" spans="1:21" s="402" customFormat="1" ht="79.5" customHeight="1" x14ac:dyDescent="0.2">
      <c r="A105" s="414" t="s">
        <v>473</v>
      </c>
      <c r="B105" s="432" t="s">
        <v>474</v>
      </c>
      <c r="C105" s="433" t="s">
        <v>447</v>
      </c>
      <c r="D105" s="433">
        <v>13.55</v>
      </c>
      <c r="E105" s="433">
        <v>190.95</v>
      </c>
      <c r="F105" s="490">
        <f t="shared" si="17"/>
        <v>2587.37</v>
      </c>
      <c r="G105" s="483">
        <v>13.55</v>
      </c>
      <c r="H105" s="433">
        <v>2587.3724999999999</v>
      </c>
      <c r="I105" s="435">
        <f t="shared" si="21"/>
        <v>1.0000009662321199</v>
      </c>
      <c r="J105" s="433">
        <f t="shared" si="22"/>
        <v>0</v>
      </c>
      <c r="K105" s="433">
        <f t="shared" si="23"/>
        <v>0</v>
      </c>
      <c r="L105" s="435">
        <f t="shared" si="24"/>
        <v>0</v>
      </c>
      <c r="M105" s="420"/>
      <c r="N105" s="420"/>
      <c r="O105" s="420">
        <f t="shared" si="14"/>
        <v>0</v>
      </c>
      <c r="P105" s="420"/>
      <c r="R105" s="420"/>
    </row>
    <row r="106" spans="1:21" ht="15.75" x14ac:dyDescent="0.2">
      <c r="A106" s="436"/>
      <c r="B106" s="422" t="s">
        <v>132</v>
      </c>
      <c r="C106" s="424"/>
      <c r="D106" s="424"/>
      <c r="E106" s="424"/>
      <c r="F106" s="427">
        <f>SUM(F85:F105)</f>
        <v>247642.26</v>
      </c>
      <c r="G106" s="485">
        <v>0</v>
      </c>
      <c r="H106" s="425">
        <v>164570.24276399997</v>
      </c>
      <c r="I106" s="429">
        <f t="shared" si="21"/>
        <v>0.66454829948652527</v>
      </c>
      <c r="J106" s="430">
        <f t="shared" si="22"/>
        <v>0</v>
      </c>
      <c r="K106" s="425">
        <f>SUM(K85:K105)</f>
        <v>83072.02</v>
      </c>
      <c r="L106" s="429">
        <f t="shared" si="24"/>
        <v>0.33545171167473598</v>
      </c>
      <c r="M106" s="420"/>
      <c r="N106" s="420">
        <f>K106</f>
        <v>83072.02</v>
      </c>
      <c r="O106" s="420">
        <f t="shared" si="14"/>
        <v>0</v>
      </c>
      <c r="P106" s="420"/>
      <c r="R106" s="420"/>
      <c r="U106" s="386">
        <v>2267.46</v>
      </c>
    </row>
    <row r="107" spans="1:21" ht="15.75" x14ac:dyDescent="0.2">
      <c r="A107" s="436"/>
      <c r="B107" s="439"/>
      <c r="C107" s="424"/>
      <c r="D107" s="424"/>
      <c r="E107" s="424"/>
      <c r="F107" s="491"/>
      <c r="G107" s="485">
        <v>0</v>
      </c>
      <c r="H107" s="424"/>
      <c r="I107" s="431"/>
      <c r="J107" s="424"/>
      <c r="K107" s="424"/>
      <c r="L107" s="431"/>
      <c r="M107" s="420"/>
      <c r="N107" s="420"/>
      <c r="O107" s="420">
        <f t="shared" si="14"/>
        <v>0</v>
      </c>
      <c r="P107" s="420"/>
      <c r="R107" s="420"/>
    </row>
    <row r="108" spans="1:21" ht="15.75" x14ac:dyDescent="0.2">
      <c r="A108" s="421" t="s">
        <v>475</v>
      </c>
      <c r="B108" s="422" t="s">
        <v>476</v>
      </c>
      <c r="C108" s="424"/>
      <c r="D108" s="424"/>
      <c r="E108" s="424"/>
      <c r="F108" s="491"/>
      <c r="G108" s="485">
        <v>0</v>
      </c>
      <c r="H108" s="424"/>
      <c r="I108" s="431"/>
      <c r="J108" s="424"/>
      <c r="K108" s="424"/>
      <c r="L108" s="431"/>
      <c r="M108" s="420"/>
      <c r="N108" s="420"/>
      <c r="O108" s="420">
        <f t="shared" si="14"/>
        <v>0</v>
      </c>
      <c r="P108" s="420"/>
      <c r="R108" s="420"/>
    </row>
    <row r="109" spans="1:21" ht="30" x14ac:dyDescent="0.25">
      <c r="A109" s="455" t="s">
        <v>933</v>
      </c>
      <c r="B109" s="456" t="s">
        <v>934</v>
      </c>
      <c r="C109" s="424"/>
      <c r="D109" s="424"/>
      <c r="E109" s="424"/>
      <c r="F109" s="491"/>
      <c r="G109" s="485"/>
      <c r="H109" s="424"/>
      <c r="I109" s="431"/>
      <c r="J109" s="424"/>
      <c r="K109" s="424"/>
      <c r="L109" s="431"/>
      <c r="M109" s="420"/>
      <c r="N109" s="420"/>
      <c r="O109" s="420">
        <f t="shared" si="14"/>
        <v>0</v>
      </c>
      <c r="P109" s="420"/>
      <c r="R109" s="420"/>
    </row>
    <row r="110" spans="1:21" s="402" customFormat="1" ht="75.75" customHeight="1" x14ac:dyDescent="0.2">
      <c r="A110" s="414" t="s">
        <v>477</v>
      </c>
      <c r="B110" s="432" t="s">
        <v>478</v>
      </c>
      <c r="C110" s="433" t="s">
        <v>35</v>
      </c>
      <c r="D110" s="433">
        <v>71.873500000000007</v>
      </c>
      <c r="E110" s="433">
        <v>91.62</v>
      </c>
      <c r="F110" s="490">
        <f t="shared" ref="F110:F118" si="25">ROUND((E110*D110),2)</f>
        <v>6585.05</v>
      </c>
      <c r="G110" s="483">
        <v>71.873500000000007</v>
      </c>
      <c r="H110" s="433">
        <v>6585.0500700000011</v>
      </c>
      <c r="I110" s="435">
        <f>IF(F110=0,0,H110/F110)</f>
        <v>1.0000000106301397</v>
      </c>
      <c r="J110" s="433">
        <f>D110-G110</f>
        <v>0</v>
      </c>
      <c r="K110" s="433">
        <f>ROUND((J110*E110),2)</f>
        <v>0</v>
      </c>
      <c r="L110" s="435">
        <f>IF(F110=0,0,K110/F110)</f>
        <v>0</v>
      </c>
      <c r="M110" s="420"/>
      <c r="N110" s="420"/>
      <c r="O110" s="420">
        <f t="shared" si="14"/>
        <v>0</v>
      </c>
      <c r="P110" s="420"/>
      <c r="R110" s="420"/>
      <c r="U110" s="402">
        <v>1977.1596</v>
      </c>
    </row>
    <row r="111" spans="1:21" s="402" customFormat="1" ht="78.75" x14ac:dyDescent="0.2">
      <c r="A111" s="414" t="s">
        <v>479</v>
      </c>
      <c r="B111" s="432" t="s">
        <v>480</v>
      </c>
      <c r="C111" s="433" t="s">
        <v>35</v>
      </c>
      <c r="D111" s="433">
        <v>265.60000000000002</v>
      </c>
      <c r="E111" s="433">
        <v>162.26</v>
      </c>
      <c r="F111" s="490">
        <f t="shared" si="25"/>
        <v>43096.26</v>
      </c>
      <c r="G111" s="483">
        <v>265.60000000000002</v>
      </c>
      <c r="H111" s="433">
        <v>43096.256000000001</v>
      </c>
      <c r="I111" s="435">
        <f>IF(F111=0,0,H111/F111)</f>
        <v>0.99999990718452136</v>
      </c>
      <c r="J111" s="433">
        <f>D111-G111</f>
        <v>0</v>
      </c>
      <c r="K111" s="433">
        <f>ROUND((J111*E111),2)</f>
        <v>0</v>
      </c>
      <c r="L111" s="435">
        <f>IF(F111=0,0,K111/F111)</f>
        <v>0</v>
      </c>
      <c r="M111" s="420"/>
      <c r="N111" s="420"/>
      <c r="O111" s="420">
        <f t="shared" si="14"/>
        <v>0</v>
      </c>
      <c r="P111" s="420"/>
      <c r="R111" s="420"/>
    </row>
    <row r="112" spans="1:21" s="453" customFormat="1" ht="15.75" x14ac:dyDescent="0.25">
      <c r="A112" s="455" t="s">
        <v>935</v>
      </c>
      <c r="B112" s="456" t="s">
        <v>936</v>
      </c>
      <c r="C112" s="450"/>
      <c r="D112" s="450">
        <v>0</v>
      </c>
      <c r="E112" s="450"/>
      <c r="F112" s="492"/>
      <c r="G112" s="485"/>
      <c r="H112" s="450"/>
      <c r="I112" s="451"/>
      <c r="J112" s="450"/>
      <c r="K112" s="450"/>
      <c r="L112" s="451"/>
      <c r="M112" s="452"/>
      <c r="N112" s="420"/>
      <c r="O112" s="420">
        <f t="shared" si="14"/>
        <v>0</v>
      </c>
      <c r="P112" s="452"/>
      <c r="R112" s="452"/>
    </row>
    <row r="113" spans="1:21" s="402" customFormat="1" ht="47.25" x14ac:dyDescent="0.2">
      <c r="A113" s="414" t="s">
        <v>481</v>
      </c>
      <c r="B113" s="432" t="s">
        <v>482</v>
      </c>
      <c r="C113" s="433" t="s">
        <v>35</v>
      </c>
      <c r="D113" s="433">
        <v>24</v>
      </c>
      <c r="E113" s="433">
        <v>213.03</v>
      </c>
      <c r="F113" s="490">
        <f t="shared" si="25"/>
        <v>5112.72</v>
      </c>
      <c r="G113" s="483">
        <v>9.5</v>
      </c>
      <c r="H113" s="433">
        <v>2023.7850000000001</v>
      </c>
      <c r="I113" s="435">
        <f>IF(F113=0,0,H113/F113)</f>
        <v>0.39583333333333331</v>
      </c>
      <c r="J113" s="433">
        <f>D113-G113</f>
        <v>14.5</v>
      </c>
      <c r="K113" s="433">
        <f>ROUND((J113*E113),2)</f>
        <v>3088.94</v>
      </c>
      <c r="L113" s="435">
        <f>IF(F113=0,0,K113/F113)</f>
        <v>0.60416764461969363</v>
      </c>
      <c r="M113" s="420"/>
      <c r="N113" s="420"/>
      <c r="O113" s="420">
        <f t="shared" si="14"/>
        <v>3088.94</v>
      </c>
      <c r="P113" s="420"/>
      <c r="R113" s="420"/>
    </row>
    <row r="114" spans="1:21" s="402" customFormat="1" ht="47.25" x14ac:dyDescent="0.2">
      <c r="A114" s="414" t="s">
        <v>483</v>
      </c>
      <c r="B114" s="432" t="s">
        <v>484</v>
      </c>
      <c r="C114" s="433" t="s">
        <v>35</v>
      </c>
      <c r="D114" s="433">
        <v>22.14</v>
      </c>
      <c r="E114" s="433">
        <v>956.15</v>
      </c>
      <c r="F114" s="490">
        <f t="shared" si="25"/>
        <v>21169.16</v>
      </c>
      <c r="G114" s="483">
        <v>22.14</v>
      </c>
      <c r="H114" s="433">
        <v>21169.161</v>
      </c>
      <c r="I114" s="435">
        <f>IF(F114=0,0,H114/F114)</f>
        <v>1.00000004723853</v>
      </c>
      <c r="J114" s="433">
        <f>D114-G114</f>
        <v>0</v>
      </c>
      <c r="K114" s="433">
        <f>ROUND((J114*E114),2)</f>
        <v>0</v>
      </c>
      <c r="L114" s="435">
        <f>IF(F114=0,0,K114/F114)</f>
        <v>0</v>
      </c>
      <c r="M114" s="420"/>
      <c r="N114" s="420"/>
      <c r="O114" s="420">
        <f t="shared" si="14"/>
        <v>0</v>
      </c>
      <c r="P114" s="420"/>
      <c r="R114" s="420"/>
    </row>
    <row r="115" spans="1:21" s="453" customFormat="1" ht="15.75" x14ac:dyDescent="0.25">
      <c r="A115" s="455" t="s">
        <v>937</v>
      </c>
      <c r="B115" s="456" t="s">
        <v>938</v>
      </c>
      <c r="C115" s="450"/>
      <c r="D115" s="450">
        <v>0</v>
      </c>
      <c r="E115" s="450"/>
      <c r="F115" s="492"/>
      <c r="G115" s="485"/>
      <c r="H115" s="450"/>
      <c r="I115" s="451"/>
      <c r="J115" s="450"/>
      <c r="K115" s="450"/>
      <c r="L115" s="451"/>
      <c r="M115" s="452"/>
      <c r="N115" s="420"/>
      <c r="O115" s="420">
        <f t="shared" si="14"/>
        <v>0</v>
      </c>
      <c r="P115" s="452"/>
      <c r="R115" s="452"/>
    </row>
    <row r="116" spans="1:21" s="402" customFormat="1" ht="31.5" x14ac:dyDescent="0.2">
      <c r="A116" s="414" t="s">
        <v>485</v>
      </c>
      <c r="B116" s="432" t="s">
        <v>486</v>
      </c>
      <c r="C116" s="433" t="s">
        <v>26</v>
      </c>
      <c r="D116" s="433">
        <v>41.4</v>
      </c>
      <c r="E116" s="433">
        <v>11.41</v>
      </c>
      <c r="F116" s="490">
        <f t="shared" si="25"/>
        <v>472.37</v>
      </c>
      <c r="G116" s="483">
        <v>19.38</v>
      </c>
      <c r="H116" s="433">
        <v>221.1258</v>
      </c>
      <c r="I116" s="435">
        <f>IF(F116=0,0,H116/F116)</f>
        <v>0.46811990600588521</v>
      </c>
      <c r="J116" s="433">
        <f>D116-G116</f>
        <v>22.02</v>
      </c>
      <c r="K116" s="433">
        <f>ROUND((J116*E116),2)</f>
        <v>251.25</v>
      </c>
      <c r="L116" s="435">
        <f>IF(F116=0,0,K116/F116)</f>
        <v>0.53189237250460442</v>
      </c>
      <c r="M116" s="420"/>
      <c r="N116" s="420"/>
      <c r="O116" s="420">
        <f t="shared" si="14"/>
        <v>251.25</v>
      </c>
      <c r="P116" s="420"/>
      <c r="R116" s="420"/>
    </row>
    <row r="117" spans="1:21" s="402" customFormat="1" ht="15.75" x14ac:dyDescent="0.2">
      <c r="A117" s="414"/>
      <c r="B117" s="432"/>
      <c r="C117" s="433"/>
      <c r="D117" s="433">
        <v>0</v>
      </c>
      <c r="E117" s="433"/>
      <c r="F117" s="490"/>
      <c r="G117" s="483">
        <v>0</v>
      </c>
      <c r="H117" s="433"/>
      <c r="I117" s="435"/>
      <c r="J117" s="433"/>
      <c r="K117" s="433"/>
      <c r="L117" s="435"/>
      <c r="M117" s="420"/>
      <c r="N117" s="420"/>
      <c r="O117" s="420">
        <f t="shared" si="14"/>
        <v>0</v>
      </c>
      <c r="P117" s="420"/>
      <c r="R117" s="420"/>
    </row>
    <row r="118" spans="1:21" s="402" customFormat="1" ht="63" x14ac:dyDescent="0.2">
      <c r="A118" s="414" t="s">
        <v>487</v>
      </c>
      <c r="B118" s="432" t="s">
        <v>488</v>
      </c>
      <c r="C118" s="433" t="s">
        <v>35</v>
      </c>
      <c r="D118" s="433">
        <v>108</v>
      </c>
      <c r="E118" s="433">
        <v>51.58</v>
      </c>
      <c r="F118" s="490">
        <f t="shared" si="25"/>
        <v>5570.64</v>
      </c>
      <c r="G118" s="483">
        <v>4</v>
      </c>
      <c r="H118" s="433">
        <v>206.32</v>
      </c>
      <c r="I118" s="435">
        <f>IF(F118=0,0,H118/F118)</f>
        <v>3.7037037037037035E-2</v>
      </c>
      <c r="J118" s="433">
        <f>D118-G118</f>
        <v>104</v>
      </c>
      <c r="K118" s="433">
        <f>ROUND((J118*E118),2)</f>
        <v>5364.32</v>
      </c>
      <c r="L118" s="435">
        <f>IF(F118=0,0,K118/F118)</f>
        <v>0.96296296296296291</v>
      </c>
      <c r="M118" s="420"/>
      <c r="N118" s="420"/>
      <c r="O118" s="420">
        <f t="shared" si="14"/>
        <v>5364.32</v>
      </c>
      <c r="P118" s="420"/>
      <c r="R118" s="420"/>
    </row>
    <row r="119" spans="1:21" ht="15.75" x14ac:dyDescent="0.2">
      <c r="A119" s="436"/>
      <c r="B119" s="422" t="s">
        <v>287</v>
      </c>
      <c r="C119" s="424"/>
      <c r="D119" s="424"/>
      <c r="E119" s="424"/>
      <c r="F119" s="427">
        <f>SUM(F110:F118)</f>
        <v>82006.2</v>
      </c>
      <c r="G119" s="485">
        <v>0</v>
      </c>
      <c r="H119" s="425">
        <v>73301.697870000018</v>
      </c>
      <c r="I119" s="429">
        <f>IF(F119=0,0,H119/F119)</f>
        <v>0.89385556055517779</v>
      </c>
      <c r="J119" s="430">
        <f>D119-G119</f>
        <v>0</v>
      </c>
      <c r="K119" s="425">
        <f>SUM(K110:K118)</f>
        <v>8704.51</v>
      </c>
      <c r="L119" s="429">
        <f>IF(F119=0,0,K119/F119)</f>
        <v>0.10614453541317609</v>
      </c>
      <c r="M119" s="420"/>
      <c r="N119" s="420"/>
      <c r="O119" s="420">
        <f t="shared" si="14"/>
        <v>8704.51</v>
      </c>
      <c r="P119" s="420"/>
      <c r="R119" s="420"/>
      <c r="U119" s="386">
        <v>1977.1596</v>
      </c>
    </row>
    <row r="120" spans="1:21" ht="15.75" x14ac:dyDescent="0.2">
      <c r="A120" s="436"/>
      <c r="B120" s="422"/>
      <c r="C120" s="424"/>
      <c r="D120" s="424"/>
      <c r="E120" s="424"/>
      <c r="F120" s="427"/>
      <c r="G120" s="485">
        <v>0</v>
      </c>
      <c r="H120" s="426"/>
      <c r="I120" s="429"/>
      <c r="J120" s="440"/>
      <c r="K120" s="426"/>
      <c r="L120" s="429"/>
      <c r="M120" s="420"/>
      <c r="N120" s="420"/>
      <c r="O120" s="420">
        <f t="shared" si="14"/>
        <v>0</v>
      </c>
      <c r="P120" s="420"/>
      <c r="R120" s="420"/>
    </row>
    <row r="121" spans="1:21" ht="15.75" x14ac:dyDescent="0.2">
      <c r="A121" s="421" t="s">
        <v>489</v>
      </c>
      <c r="B121" s="422" t="s">
        <v>490</v>
      </c>
      <c r="C121" s="424"/>
      <c r="D121" s="424"/>
      <c r="E121" s="424"/>
      <c r="F121" s="427"/>
      <c r="G121" s="485">
        <v>0</v>
      </c>
      <c r="H121" s="426"/>
      <c r="I121" s="429"/>
      <c r="J121" s="440"/>
      <c r="K121" s="426"/>
      <c r="L121" s="429"/>
      <c r="M121" s="420"/>
      <c r="N121" s="420"/>
      <c r="O121" s="420">
        <f t="shared" si="14"/>
        <v>0</v>
      </c>
      <c r="P121" s="420"/>
      <c r="R121" s="420"/>
    </row>
    <row r="122" spans="1:21" s="402" customFormat="1" ht="31.5" x14ac:dyDescent="0.2">
      <c r="A122" s="414" t="s">
        <v>491</v>
      </c>
      <c r="B122" s="432" t="s">
        <v>492</v>
      </c>
      <c r="C122" s="433" t="s">
        <v>26</v>
      </c>
      <c r="D122" s="433">
        <v>25.3</v>
      </c>
      <c r="E122" s="433">
        <v>111.03</v>
      </c>
      <c r="F122" s="490">
        <f t="shared" ref="F122:F124" si="26">ROUND((E122*D122),2)</f>
        <v>2809.06</v>
      </c>
      <c r="G122" s="483">
        <v>5</v>
      </c>
      <c r="H122" s="433">
        <v>555.15</v>
      </c>
      <c r="I122" s="435">
        <f>IF(F122=0,0,H122/F122)</f>
        <v>0.19762838814407666</v>
      </c>
      <c r="J122" s="433">
        <f>D122-G122</f>
        <v>20.3</v>
      </c>
      <c r="K122" s="433">
        <f>ROUND((J122*E122),2)</f>
        <v>2253.91</v>
      </c>
      <c r="L122" s="435">
        <f>IF(F122=0,0,K122/F122)</f>
        <v>0.80237161185592332</v>
      </c>
      <c r="M122" s="420"/>
      <c r="N122" s="420"/>
      <c r="O122" s="420">
        <f t="shared" si="14"/>
        <v>2253.91</v>
      </c>
      <c r="P122" s="420"/>
      <c r="R122" s="420"/>
    </row>
    <row r="123" spans="1:21" s="402" customFormat="1" ht="78.75" x14ac:dyDescent="0.2">
      <c r="A123" s="414" t="s">
        <v>493</v>
      </c>
      <c r="B123" s="432" t="s">
        <v>494</v>
      </c>
      <c r="C123" s="433" t="s">
        <v>23</v>
      </c>
      <c r="D123" s="433">
        <v>6</v>
      </c>
      <c r="E123" s="433">
        <v>1359.57</v>
      </c>
      <c r="F123" s="490">
        <f t="shared" si="26"/>
        <v>8157.42</v>
      </c>
      <c r="G123" s="483">
        <v>3</v>
      </c>
      <c r="H123" s="433">
        <v>4078.71</v>
      </c>
      <c r="I123" s="435">
        <f>IF(F123=0,0,H123/F123)</f>
        <v>0.5</v>
      </c>
      <c r="J123" s="433">
        <f>D123-G123</f>
        <v>3</v>
      </c>
      <c r="K123" s="433">
        <f>ROUND((J123*E123),2)</f>
        <v>4078.71</v>
      </c>
      <c r="L123" s="435">
        <f>IF(F123=0,0,K123/F123)</f>
        <v>0.5</v>
      </c>
      <c r="M123" s="420"/>
      <c r="N123" s="420"/>
      <c r="O123" s="420">
        <f t="shared" si="14"/>
        <v>4078.71</v>
      </c>
      <c r="P123" s="420"/>
      <c r="R123" s="420"/>
    </row>
    <row r="124" spans="1:21" s="402" customFormat="1" ht="78.75" x14ac:dyDescent="0.2">
      <c r="A124" s="414" t="s">
        <v>495</v>
      </c>
      <c r="B124" s="432" t="s">
        <v>496</v>
      </c>
      <c r="C124" s="433" t="s">
        <v>23</v>
      </c>
      <c r="D124" s="433">
        <v>3</v>
      </c>
      <c r="E124" s="433">
        <v>1419.66</v>
      </c>
      <c r="F124" s="490">
        <f t="shared" si="26"/>
        <v>4258.9799999999996</v>
      </c>
      <c r="G124" s="483">
        <v>0</v>
      </c>
      <c r="H124" s="433">
        <v>0</v>
      </c>
      <c r="I124" s="435">
        <f>IF(F124=0,0,H124/F124)</f>
        <v>0</v>
      </c>
      <c r="J124" s="433">
        <f>D124-G124</f>
        <v>3</v>
      </c>
      <c r="K124" s="433">
        <f>ROUND((J124*E124),2)</f>
        <v>4258.9799999999996</v>
      </c>
      <c r="L124" s="435">
        <f>IF(F124=0,0,K124/F124)</f>
        <v>1</v>
      </c>
      <c r="M124" s="420"/>
      <c r="N124" s="420">
        <f>K125</f>
        <v>10591.599999999999</v>
      </c>
      <c r="O124" s="420">
        <f t="shared" si="14"/>
        <v>-6332.619999999999</v>
      </c>
      <c r="P124" s="420"/>
      <c r="R124" s="420"/>
    </row>
    <row r="125" spans="1:21" ht="15.75" x14ac:dyDescent="0.2">
      <c r="A125" s="436"/>
      <c r="B125" s="422" t="s">
        <v>289</v>
      </c>
      <c r="C125" s="424"/>
      <c r="D125" s="424"/>
      <c r="E125" s="424"/>
      <c r="F125" s="427">
        <f>SUM(F122:F124)</f>
        <v>15225.46</v>
      </c>
      <c r="G125" s="485">
        <v>0</v>
      </c>
      <c r="H125" s="425">
        <v>4633.8599999999997</v>
      </c>
      <c r="I125" s="429">
        <f>IF(F125=0,0,H125/F125)</f>
        <v>0.30434942523904041</v>
      </c>
      <c r="J125" s="430">
        <f>D125-G125</f>
        <v>0</v>
      </c>
      <c r="K125" s="425">
        <f>SUM(K122:K124)</f>
        <v>10591.599999999999</v>
      </c>
      <c r="L125" s="429">
        <f>IF(F125=0,0,K125/F125)</f>
        <v>0.69565057476095959</v>
      </c>
      <c r="M125" s="420"/>
      <c r="N125" s="420"/>
      <c r="O125" s="420">
        <f t="shared" si="14"/>
        <v>10591.599999999999</v>
      </c>
      <c r="P125" s="420"/>
      <c r="R125" s="420"/>
      <c r="U125" s="386">
        <v>0</v>
      </c>
    </row>
    <row r="126" spans="1:21" ht="15.75" x14ac:dyDescent="0.2">
      <c r="A126" s="436"/>
      <c r="B126" s="422"/>
      <c r="C126" s="424"/>
      <c r="D126" s="424"/>
      <c r="E126" s="424"/>
      <c r="F126" s="427"/>
      <c r="G126" s="485">
        <v>0</v>
      </c>
      <c r="H126" s="426"/>
      <c r="I126" s="429"/>
      <c r="J126" s="440"/>
      <c r="K126" s="426"/>
      <c r="L126" s="429"/>
      <c r="M126" s="420"/>
      <c r="N126" s="420"/>
      <c r="O126" s="420">
        <f t="shared" si="14"/>
        <v>0</v>
      </c>
      <c r="P126" s="420"/>
      <c r="R126" s="420"/>
    </row>
    <row r="127" spans="1:21" ht="15.75" x14ac:dyDescent="0.2">
      <c r="A127" s="421" t="s">
        <v>497</v>
      </c>
      <c r="B127" s="422" t="s">
        <v>498</v>
      </c>
      <c r="C127" s="424"/>
      <c r="D127" s="424"/>
      <c r="E127" s="424"/>
      <c r="F127" s="427"/>
      <c r="G127" s="485">
        <v>0</v>
      </c>
      <c r="H127" s="426"/>
      <c r="I127" s="429"/>
      <c r="J127" s="440"/>
      <c r="K127" s="426"/>
      <c r="L127" s="429"/>
      <c r="M127" s="420"/>
      <c r="N127" s="420"/>
      <c r="O127" s="420">
        <f t="shared" si="14"/>
        <v>0</v>
      </c>
      <c r="P127" s="420"/>
      <c r="R127" s="420"/>
    </row>
    <row r="128" spans="1:21" s="402" customFormat="1" ht="35.25" customHeight="1" x14ac:dyDescent="0.2">
      <c r="A128" s="414" t="s">
        <v>499</v>
      </c>
      <c r="B128" s="432" t="s">
        <v>500</v>
      </c>
      <c r="C128" s="433" t="s">
        <v>35</v>
      </c>
      <c r="D128" s="433">
        <v>3.78</v>
      </c>
      <c r="E128" s="433">
        <v>295.72000000000003</v>
      </c>
      <c r="F128" s="490">
        <f t="shared" ref="F128:F136" si="27">ROUND((E128*D128),2)</f>
        <v>1117.82</v>
      </c>
      <c r="G128" s="483">
        <v>3.7839999999999998</v>
      </c>
      <c r="H128" s="433">
        <v>1117.82448</v>
      </c>
      <c r="I128" s="435">
        <f t="shared" ref="I128:I137" si="28">IF(F128=0,0,H128/F128)</f>
        <v>1.0000040078008983</v>
      </c>
      <c r="J128" s="433"/>
      <c r="K128" s="433"/>
      <c r="L128" s="435"/>
      <c r="M128" s="479"/>
      <c r="N128" s="420"/>
      <c r="O128" s="420">
        <f t="shared" si="14"/>
        <v>0</v>
      </c>
      <c r="P128" s="420"/>
      <c r="R128" s="420"/>
    </row>
    <row r="129" spans="1:21" s="402" customFormat="1" ht="31.5" x14ac:dyDescent="0.2">
      <c r="A129" s="414" t="s">
        <v>501</v>
      </c>
      <c r="B129" s="432" t="s">
        <v>502</v>
      </c>
      <c r="C129" s="433" t="s">
        <v>35</v>
      </c>
      <c r="D129" s="433">
        <v>32.9</v>
      </c>
      <c r="E129" s="433">
        <v>631.91</v>
      </c>
      <c r="F129" s="490">
        <f t="shared" si="27"/>
        <v>20789.84</v>
      </c>
      <c r="G129" s="483">
        <v>0</v>
      </c>
      <c r="H129" s="433">
        <v>0</v>
      </c>
      <c r="I129" s="435">
        <f t="shared" si="28"/>
        <v>0</v>
      </c>
      <c r="J129" s="433">
        <f t="shared" ref="J129:J154" si="29">D129-G129</f>
        <v>32.9</v>
      </c>
      <c r="K129" s="433">
        <f t="shared" ref="K129:K136" si="30">ROUND((J129*E129),2)</f>
        <v>20789.84</v>
      </c>
      <c r="L129" s="435">
        <f t="shared" ref="L129:L154" si="31">IF(F129=0,0,K129/F129)</f>
        <v>1</v>
      </c>
      <c r="M129" s="478"/>
      <c r="N129" s="420"/>
      <c r="O129" s="420">
        <f t="shared" si="14"/>
        <v>20789.84</v>
      </c>
      <c r="P129" s="420"/>
      <c r="R129" s="420"/>
    </row>
    <row r="130" spans="1:21" s="402" customFormat="1" ht="59.25" customHeight="1" x14ac:dyDescent="0.2">
      <c r="A130" s="414" t="s">
        <v>503</v>
      </c>
      <c r="B130" s="432" t="s">
        <v>504</v>
      </c>
      <c r="C130" s="433" t="s">
        <v>35</v>
      </c>
      <c r="D130" s="433">
        <v>7.35</v>
      </c>
      <c r="E130" s="433">
        <v>537.42999999999995</v>
      </c>
      <c r="F130" s="490">
        <f t="shared" si="27"/>
        <v>3950.11</v>
      </c>
      <c r="G130" s="483">
        <v>0.72</v>
      </c>
      <c r="H130" s="433">
        <v>386.94959999999998</v>
      </c>
      <c r="I130" s="435">
        <f t="shared" si="28"/>
        <v>9.7959196073020741E-2</v>
      </c>
      <c r="J130" s="433">
        <f t="shared" si="29"/>
        <v>6.63</v>
      </c>
      <c r="K130" s="433">
        <f t="shared" si="30"/>
        <v>3563.16</v>
      </c>
      <c r="L130" s="435">
        <f t="shared" si="31"/>
        <v>0.9020407026639764</v>
      </c>
      <c r="M130" s="420"/>
      <c r="N130" s="420"/>
      <c r="O130" s="420">
        <f t="shared" si="14"/>
        <v>3563.16</v>
      </c>
      <c r="P130" s="420"/>
      <c r="R130" s="420"/>
    </row>
    <row r="131" spans="1:21" s="402" customFormat="1" ht="47.25" x14ac:dyDescent="0.2">
      <c r="A131" s="414" t="s">
        <v>505</v>
      </c>
      <c r="B131" s="432" t="s">
        <v>506</v>
      </c>
      <c r="C131" s="433" t="s">
        <v>35</v>
      </c>
      <c r="D131" s="433">
        <v>15.16</v>
      </c>
      <c r="E131" s="433">
        <v>1107.8499999999999</v>
      </c>
      <c r="F131" s="490">
        <f t="shared" si="27"/>
        <v>16795.009999999998</v>
      </c>
      <c r="G131" s="483">
        <v>15.16</v>
      </c>
      <c r="H131" s="433">
        <v>16795.005999999998</v>
      </c>
      <c r="I131" s="435">
        <f t="shared" si="28"/>
        <v>0.99999976183402084</v>
      </c>
      <c r="J131" s="433">
        <f t="shared" si="29"/>
        <v>0</v>
      </c>
      <c r="K131" s="433">
        <f t="shared" si="30"/>
        <v>0</v>
      </c>
      <c r="L131" s="435">
        <f t="shared" si="31"/>
        <v>0</v>
      </c>
      <c r="M131" s="420"/>
      <c r="N131" s="420"/>
      <c r="O131" s="420">
        <f t="shared" si="14"/>
        <v>0</v>
      </c>
      <c r="P131" s="420"/>
      <c r="R131" s="420"/>
    </row>
    <row r="132" spans="1:21" s="402" customFormat="1" ht="79.5" customHeight="1" x14ac:dyDescent="0.2">
      <c r="A132" s="414" t="s">
        <v>507</v>
      </c>
      <c r="B132" s="432" t="s">
        <v>508</v>
      </c>
      <c r="C132" s="433" t="s">
        <v>23</v>
      </c>
      <c r="D132" s="433">
        <v>1</v>
      </c>
      <c r="E132" s="433">
        <v>2910.49</v>
      </c>
      <c r="F132" s="490">
        <f t="shared" si="27"/>
        <v>2910.49</v>
      </c>
      <c r="G132" s="483">
        <v>1</v>
      </c>
      <c r="H132" s="433">
        <v>2910.49</v>
      </c>
      <c r="I132" s="435">
        <f t="shared" si="28"/>
        <v>1</v>
      </c>
      <c r="J132" s="433">
        <f t="shared" si="29"/>
        <v>0</v>
      </c>
      <c r="K132" s="433">
        <f t="shared" si="30"/>
        <v>0</v>
      </c>
      <c r="L132" s="435">
        <f t="shared" si="31"/>
        <v>0</v>
      </c>
      <c r="M132" s="420"/>
      <c r="N132" s="420"/>
      <c r="O132" s="420">
        <f t="shared" si="14"/>
        <v>0</v>
      </c>
      <c r="P132" s="420"/>
      <c r="R132" s="420"/>
    </row>
    <row r="133" spans="1:21" s="402" customFormat="1" ht="47.25" x14ac:dyDescent="0.2">
      <c r="A133" s="414" t="s">
        <v>509</v>
      </c>
      <c r="B133" s="432" t="s">
        <v>510</v>
      </c>
      <c r="C133" s="433" t="s">
        <v>35</v>
      </c>
      <c r="D133" s="433">
        <v>16.05</v>
      </c>
      <c r="E133" s="433">
        <v>2035.31</v>
      </c>
      <c r="F133" s="490">
        <f t="shared" si="27"/>
        <v>32666.73</v>
      </c>
      <c r="G133" s="483">
        <v>16.05</v>
      </c>
      <c r="H133" s="433">
        <v>32666.7255</v>
      </c>
      <c r="I133" s="435">
        <f t="shared" si="28"/>
        <v>0.99999986224516502</v>
      </c>
      <c r="J133" s="433">
        <f t="shared" si="29"/>
        <v>0</v>
      </c>
      <c r="K133" s="433">
        <f t="shared" si="30"/>
        <v>0</v>
      </c>
      <c r="L133" s="435">
        <f t="shared" si="31"/>
        <v>0</v>
      </c>
      <c r="M133" s="420"/>
      <c r="N133" s="420"/>
      <c r="O133" s="420">
        <f t="shared" si="14"/>
        <v>0</v>
      </c>
      <c r="P133" s="420"/>
      <c r="R133" s="420"/>
    </row>
    <row r="134" spans="1:21" s="402" customFormat="1" ht="56.25" customHeight="1" x14ac:dyDescent="0.2">
      <c r="A134" s="414" t="s">
        <v>511</v>
      </c>
      <c r="B134" s="432" t="s">
        <v>512</v>
      </c>
      <c r="C134" s="433" t="s">
        <v>23</v>
      </c>
      <c r="D134" s="433">
        <v>1</v>
      </c>
      <c r="E134" s="433">
        <v>1144.3900000000001</v>
      </c>
      <c r="F134" s="490">
        <f t="shared" si="27"/>
        <v>1144.3900000000001</v>
      </c>
      <c r="G134" s="483">
        <v>1</v>
      </c>
      <c r="H134" s="433">
        <v>1144.3900000000001</v>
      </c>
      <c r="I134" s="435">
        <f t="shared" si="28"/>
        <v>1</v>
      </c>
      <c r="J134" s="433">
        <f t="shared" si="29"/>
        <v>0</v>
      </c>
      <c r="K134" s="433">
        <f t="shared" si="30"/>
        <v>0</v>
      </c>
      <c r="L134" s="435">
        <f t="shared" si="31"/>
        <v>0</v>
      </c>
      <c r="M134" s="420"/>
      <c r="N134" s="420"/>
      <c r="O134" s="420">
        <f t="shared" si="14"/>
        <v>0</v>
      </c>
      <c r="P134" s="420"/>
      <c r="R134" s="420"/>
    </row>
    <row r="135" spans="1:21" s="402" customFormat="1" ht="47.25" x14ac:dyDescent="0.2">
      <c r="A135" s="414" t="s">
        <v>513</v>
      </c>
      <c r="B135" s="432" t="s">
        <v>514</v>
      </c>
      <c r="C135" s="433" t="s">
        <v>26</v>
      </c>
      <c r="D135" s="433">
        <v>2</v>
      </c>
      <c r="E135" s="433">
        <v>1281.99</v>
      </c>
      <c r="F135" s="490">
        <f t="shared" si="27"/>
        <v>2563.98</v>
      </c>
      <c r="G135" s="483">
        <v>2</v>
      </c>
      <c r="H135" s="433">
        <v>2563.98</v>
      </c>
      <c r="I135" s="435">
        <f t="shared" si="28"/>
        <v>1</v>
      </c>
      <c r="J135" s="433">
        <f t="shared" si="29"/>
        <v>0</v>
      </c>
      <c r="K135" s="433">
        <f t="shared" si="30"/>
        <v>0</v>
      </c>
      <c r="L135" s="435">
        <f t="shared" si="31"/>
        <v>0</v>
      </c>
      <c r="M135" s="420"/>
      <c r="N135" s="420"/>
      <c r="O135" s="420">
        <f t="shared" si="14"/>
        <v>0</v>
      </c>
      <c r="P135" s="420"/>
      <c r="R135" s="420"/>
    </row>
    <row r="136" spans="1:21" s="402" customFormat="1" ht="47.25" x14ac:dyDescent="0.2">
      <c r="A136" s="414" t="s">
        <v>515</v>
      </c>
      <c r="B136" s="432" t="s">
        <v>516</v>
      </c>
      <c r="C136" s="433" t="s">
        <v>35</v>
      </c>
      <c r="D136" s="433">
        <v>12</v>
      </c>
      <c r="E136" s="433">
        <v>607.22</v>
      </c>
      <c r="F136" s="490">
        <f t="shared" si="27"/>
        <v>7286.64</v>
      </c>
      <c r="G136" s="483">
        <v>12</v>
      </c>
      <c r="H136" s="433">
        <v>7286.64</v>
      </c>
      <c r="I136" s="435">
        <f t="shared" si="28"/>
        <v>1</v>
      </c>
      <c r="J136" s="433">
        <f t="shared" si="29"/>
        <v>0</v>
      </c>
      <c r="K136" s="433">
        <f t="shared" si="30"/>
        <v>0</v>
      </c>
      <c r="L136" s="435">
        <f t="shared" si="31"/>
        <v>0</v>
      </c>
      <c r="M136" s="420"/>
      <c r="N136" s="420"/>
      <c r="O136" s="420">
        <f t="shared" si="14"/>
        <v>0</v>
      </c>
      <c r="P136" s="420"/>
      <c r="R136" s="420"/>
    </row>
    <row r="137" spans="1:21" ht="15.75" x14ac:dyDescent="0.2">
      <c r="A137" s="436"/>
      <c r="B137" s="422" t="s">
        <v>305</v>
      </c>
      <c r="C137" s="424"/>
      <c r="D137" s="424"/>
      <c r="E137" s="424"/>
      <c r="F137" s="427">
        <f>SUM(F128:F136)</f>
        <v>89225.01</v>
      </c>
      <c r="G137" s="485">
        <v>0</v>
      </c>
      <c r="H137" s="425">
        <v>64872.005579999997</v>
      </c>
      <c r="I137" s="429">
        <f t="shared" si="28"/>
        <v>0.72706078239722249</v>
      </c>
      <c r="J137" s="430">
        <f t="shared" si="29"/>
        <v>0</v>
      </c>
      <c r="K137" s="425">
        <f>SUM(K128:K136)</f>
        <v>24353</v>
      </c>
      <c r="L137" s="429">
        <f t="shared" si="31"/>
        <v>0.27293916806509744</v>
      </c>
      <c r="M137" s="420"/>
      <c r="N137" s="420">
        <f>K137</f>
        <v>24353</v>
      </c>
      <c r="O137" s="420">
        <f t="shared" si="14"/>
        <v>0</v>
      </c>
      <c r="P137" s="420"/>
      <c r="R137" s="420"/>
      <c r="U137" s="386">
        <v>0</v>
      </c>
    </row>
    <row r="138" spans="1:21" ht="15.75" x14ac:dyDescent="0.2">
      <c r="A138" s="436"/>
      <c r="B138" s="422"/>
      <c r="C138" s="424"/>
      <c r="D138" s="424"/>
      <c r="E138" s="424"/>
      <c r="F138" s="427"/>
      <c r="G138" s="485">
        <v>0</v>
      </c>
      <c r="H138" s="424"/>
      <c r="I138" s="429"/>
      <c r="J138" s="430">
        <f t="shared" si="29"/>
        <v>0</v>
      </c>
      <c r="K138" s="426"/>
      <c r="L138" s="431">
        <f t="shared" si="31"/>
        <v>0</v>
      </c>
      <c r="M138" s="420"/>
      <c r="N138" s="420"/>
      <c r="O138" s="420">
        <f t="shared" si="14"/>
        <v>0</v>
      </c>
      <c r="P138" s="420"/>
      <c r="R138" s="420"/>
      <c r="U138" s="386">
        <v>0</v>
      </c>
    </row>
    <row r="139" spans="1:21" ht="15.75" x14ac:dyDescent="0.2">
      <c r="A139" s="421" t="s">
        <v>517</v>
      </c>
      <c r="B139" s="422" t="s">
        <v>518</v>
      </c>
      <c r="C139" s="424">
        <v>0</v>
      </c>
      <c r="D139" s="424">
        <v>0</v>
      </c>
      <c r="E139" s="424">
        <v>0</v>
      </c>
      <c r="F139" s="491">
        <f t="shared" ref="F139" si="32">D139*E139</f>
        <v>0</v>
      </c>
      <c r="G139" s="485">
        <v>0</v>
      </c>
      <c r="H139" s="424"/>
      <c r="I139" s="431">
        <f t="shared" ref="I139:I144" si="33">IF(F139=0,0,H139/F139)</f>
        <v>0</v>
      </c>
      <c r="J139" s="430">
        <f t="shared" si="29"/>
        <v>0</v>
      </c>
      <c r="K139" s="424"/>
      <c r="L139" s="431">
        <f t="shared" si="31"/>
        <v>0</v>
      </c>
      <c r="M139" s="420"/>
      <c r="N139" s="420"/>
      <c r="O139" s="420">
        <f t="shared" ref="O139:O202" si="34">K139-N139</f>
        <v>0</v>
      </c>
      <c r="P139" s="420"/>
      <c r="R139" s="420"/>
      <c r="U139" s="386">
        <v>0</v>
      </c>
    </row>
    <row r="140" spans="1:21" ht="24" customHeight="1" x14ac:dyDescent="0.2">
      <c r="A140" s="414" t="s">
        <v>519</v>
      </c>
      <c r="B140" s="432" t="s">
        <v>520</v>
      </c>
      <c r="C140" s="433" t="s">
        <v>35</v>
      </c>
      <c r="D140" s="433">
        <v>3.76</v>
      </c>
      <c r="E140" s="433">
        <v>354.48</v>
      </c>
      <c r="F140" s="490">
        <f t="shared" ref="F140:F143" si="35">ROUND((E140*D140),2)</f>
        <v>1332.84</v>
      </c>
      <c r="G140" s="483">
        <v>2.31</v>
      </c>
      <c r="H140" s="433">
        <v>818.8488000000001</v>
      </c>
      <c r="I140" s="435">
        <f t="shared" si="33"/>
        <v>0.61436391464842</v>
      </c>
      <c r="J140" s="433">
        <f t="shared" si="29"/>
        <v>1.4499999999999997</v>
      </c>
      <c r="K140" s="433">
        <f>ROUND((J140*E140),2)</f>
        <v>514</v>
      </c>
      <c r="L140" s="435">
        <f t="shared" si="31"/>
        <v>0.38564268779448396</v>
      </c>
      <c r="M140" s="420"/>
      <c r="N140" s="420"/>
      <c r="O140" s="420">
        <f t="shared" si="34"/>
        <v>514</v>
      </c>
      <c r="P140" s="420"/>
      <c r="R140" s="420"/>
      <c r="U140" s="386">
        <v>0</v>
      </c>
    </row>
    <row r="141" spans="1:21" s="413" customFormat="1" ht="50.25" customHeight="1" x14ac:dyDescent="0.2">
      <c r="A141" s="414" t="s">
        <v>521</v>
      </c>
      <c r="B141" s="432" t="s">
        <v>522</v>
      </c>
      <c r="C141" s="433" t="s">
        <v>35</v>
      </c>
      <c r="D141" s="433">
        <v>188.25024999999999</v>
      </c>
      <c r="E141" s="433">
        <v>1977.09</v>
      </c>
      <c r="F141" s="490">
        <f t="shared" si="35"/>
        <v>372187.69</v>
      </c>
      <c r="G141" s="483">
        <v>180.155</v>
      </c>
      <c r="H141" s="433">
        <v>356182.64895</v>
      </c>
      <c r="I141" s="435">
        <f t="shared" si="33"/>
        <v>0.95699739276707407</v>
      </c>
      <c r="J141" s="433">
        <f t="shared" si="29"/>
        <v>8.095249999999993</v>
      </c>
      <c r="K141" s="433">
        <f>ROUND((J141*E141),2)</f>
        <v>16005.04</v>
      </c>
      <c r="L141" s="435">
        <f t="shared" si="31"/>
        <v>4.3002604411768695E-2</v>
      </c>
      <c r="M141" s="420"/>
      <c r="N141" s="420"/>
      <c r="O141" s="420">
        <f t="shared" si="34"/>
        <v>16005.04</v>
      </c>
      <c r="P141" s="420"/>
      <c r="R141" s="420"/>
      <c r="U141" s="413">
        <v>0</v>
      </c>
    </row>
    <row r="142" spans="1:21" s="413" customFormat="1" ht="36.75" customHeight="1" x14ac:dyDescent="0.2">
      <c r="A142" s="414" t="s">
        <v>523</v>
      </c>
      <c r="B142" s="432" t="s">
        <v>524</v>
      </c>
      <c r="C142" s="433" t="s">
        <v>35</v>
      </c>
      <c r="D142" s="433">
        <v>20.63</v>
      </c>
      <c r="E142" s="433">
        <v>368.35</v>
      </c>
      <c r="F142" s="490">
        <f t="shared" si="35"/>
        <v>7599.06</v>
      </c>
      <c r="G142" s="483">
        <v>2.25</v>
      </c>
      <c r="H142" s="433">
        <v>828.78750000000002</v>
      </c>
      <c r="I142" s="435">
        <f t="shared" si="33"/>
        <v>0.10906447639576473</v>
      </c>
      <c r="J142" s="433">
        <f t="shared" si="29"/>
        <v>18.38</v>
      </c>
      <c r="K142" s="433">
        <f>ROUND((J142*E142),2)</f>
        <v>6770.27</v>
      </c>
      <c r="L142" s="435">
        <f t="shared" si="31"/>
        <v>0.89093519461617621</v>
      </c>
      <c r="M142" s="420"/>
      <c r="N142" s="420"/>
      <c r="O142" s="420">
        <f t="shared" si="34"/>
        <v>6770.27</v>
      </c>
      <c r="P142" s="420"/>
      <c r="R142" s="420"/>
    </row>
    <row r="143" spans="1:21" s="413" customFormat="1" ht="19.5" customHeight="1" x14ac:dyDescent="0.2">
      <c r="A143" s="414" t="s">
        <v>525</v>
      </c>
      <c r="B143" s="432" t="s">
        <v>526</v>
      </c>
      <c r="C143" s="433" t="s">
        <v>35</v>
      </c>
      <c r="D143" s="433">
        <v>4.8</v>
      </c>
      <c r="E143" s="433">
        <v>518.42999999999995</v>
      </c>
      <c r="F143" s="490">
        <f t="shared" si="35"/>
        <v>2488.46</v>
      </c>
      <c r="G143" s="483">
        <v>4.8</v>
      </c>
      <c r="H143" s="433">
        <v>2488.4639999999995</v>
      </c>
      <c r="I143" s="435">
        <f t="shared" si="33"/>
        <v>1.0000016074198499</v>
      </c>
      <c r="J143" s="433">
        <f t="shared" si="29"/>
        <v>0</v>
      </c>
      <c r="K143" s="433">
        <f>ROUND((J143*E143),2)</f>
        <v>0</v>
      </c>
      <c r="L143" s="435">
        <f t="shared" si="31"/>
        <v>0</v>
      </c>
      <c r="M143" s="420"/>
      <c r="N143" s="420"/>
      <c r="O143" s="420">
        <f t="shared" si="34"/>
        <v>0</v>
      </c>
      <c r="P143" s="420"/>
      <c r="R143" s="420"/>
    </row>
    <row r="144" spans="1:21" ht="15.75" x14ac:dyDescent="0.2">
      <c r="A144" s="436"/>
      <c r="B144" s="422" t="s">
        <v>290</v>
      </c>
      <c r="C144" s="424"/>
      <c r="D144" s="424"/>
      <c r="E144" s="424"/>
      <c r="F144" s="427">
        <f>SUM(F140:F143)</f>
        <v>383608.05000000005</v>
      </c>
      <c r="G144" s="485">
        <v>0</v>
      </c>
      <c r="H144" s="425">
        <v>360318.74924999994</v>
      </c>
      <c r="I144" s="429">
        <f t="shared" si="33"/>
        <v>0.93928881119674079</v>
      </c>
      <c r="J144" s="430">
        <f t="shared" si="29"/>
        <v>0</v>
      </c>
      <c r="K144" s="425">
        <f>SUM(K140:K143)</f>
        <v>23289.31</v>
      </c>
      <c r="L144" s="429">
        <f t="shared" si="31"/>
        <v>6.0711212916412988E-2</v>
      </c>
      <c r="M144" s="420"/>
      <c r="N144" s="420"/>
      <c r="O144" s="420">
        <f t="shared" si="34"/>
        <v>23289.31</v>
      </c>
      <c r="P144" s="420"/>
      <c r="R144" s="420"/>
      <c r="U144" s="386">
        <v>0</v>
      </c>
    </row>
    <row r="145" spans="1:21" ht="15.75" x14ac:dyDescent="0.2">
      <c r="A145" s="436"/>
      <c r="B145" s="422"/>
      <c r="C145" s="424"/>
      <c r="D145" s="424"/>
      <c r="E145" s="424"/>
      <c r="F145" s="427"/>
      <c r="G145" s="485">
        <v>0</v>
      </c>
      <c r="H145" s="424"/>
      <c r="I145" s="429"/>
      <c r="J145" s="430">
        <f t="shared" si="29"/>
        <v>0</v>
      </c>
      <c r="K145" s="426"/>
      <c r="L145" s="431">
        <f t="shared" si="31"/>
        <v>0</v>
      </c>
      <c r="M145" s="420"/>
      <c r="N145" s="420"/>
      <c r="O145" s="420">
        <f t="shared" si="34"/>
        <v>0</v>
      </c>
      <c r="P145" s="420"/>
      <c r="R145" s="420"/>
      <c r="U145" s="386">
        <v>0</v>
      </c>
    </row>
    <row r="146" spans="1:21" ht="15.75" x14ac:dyDescent="0.2">
      <c r="A146" s="421" t="s">
        <v>527</v>
      </c>
      <c r="B146" s="422" t="s">
        <v>528</v>
      </c>
      <c r="C146" s="424">
        <v>0</v>
      </c>
      <c r="D146" s="424"/>
      <c r="E146" s="424"/>
      <c r="F146" s="491">
        <f t="shared" ref="F146" si="36">D146*E146</f>
        <v>0</v>
      </c>
      <c r="G146" s="485">
        <v>0</v>
      </c>
      <c r="H146" s="424"/>
      <c r="I146" s="431">
        <f t="shared" ref="I146:I153" si="37">IF(F146=0,0,H146/F146)</f>
        <v>0</v>
      </c>
      <c r="J146" s="430">
        <f t="shared" si="29"/>
        <v>0</v>
      </c>
      <c r="K146" s="424"/>
      <c r="L146" s="431">
        <f t="shared" si="31"/>
        <v>0</v>
      </c>
      <c r="M146" s="420"/>
      <c r="N146" s="420"/>
      <c r="O146" s="420">
        <f t="shared" si="34"/>
        <v>0</v>
      </c>
      <c r="P146" s="420"/>
      <c r="R146" s="420"/>
      <c r="U146" s="386">
        <v>0</v>
      </c>
    </row>
    <row r="147" spans="1:21" s="402" customFormat="1" ht="78.75" x14ac:dyDescent="0.2">
      <c r="A147" s="414" t="s">
        <v>529</v>
      </c>
      <c r="B147" s="432" t="s">
        <v>530</v>
      </c>
      <c r="C147" s="433" t="s">
        <v>35</v>
      </c>
      <c r="D147" s="433">
        <v>591.5</v>
      </c>
      <c r="E147" s="433">
        <v>126.29</v>
      </c>
      <c r="F147" s="490">
        <f t="shared" ref="F147:F152" si="38">ROUND((E147*D147),2)</f>
        <v>74700.539999999994</v>
      </c>
      <c r="G147" s="483">
        <v>0</v>
      </c>
      <c r="H147" s="433">
        <v>0</v>
      </c>
      <c r="I147" s="435">
        <f t="shared" si="37"/>
        <v>0</v>
      </c>
      <c r="J147" s="433">
        <f t="shared" si="29"/>
        <v>591.5</v>
      </c>
      <c r="K147" s="433">
        <f t="shared" ref="K147:K152" si="39">ROUND((J147*E147),2)</f>
        <v>74700.539999999994</v>
      </c>
      <c r="L147" s="435">
        <f t="shared" si="31"/>
        <v>1</v>
      </c>
      <c r="M147" s="420"/>
      <c r="N147" s="420"/>
      <c r="O147" s="420">
        <f t="shared" si="34"/>
        <v>74700.539999999994</v>
      </c>
      <c r="P147" s="420"/>
      <c r="R147" s="420"/>
      <c r="U147" s="402">
        <v>0</v>
      </c>
    </row>
    <row r="148" spans="1:21" s="402" customFormat="1" ht="63" x14ac:dyDescent="0.2">
      <c r="A148" s="414" t="s">
        <v>531</v>
      </c>
      <c r="B148" s="432" t="s">
        <v>532</v>
      </c>
      <c r="C148" s="433" t="s">
        <v>35</v>
      </c>
      <c r="D148" s="433">
        <v>591.5</v>
      </c>
      <c r="E148" s="433">
        <v>350.89</v>
      </c>
      <c r="F148" s="490">
        <f t="shared" si="38"/>
        <v>207551.44</v>
      </c>
      <c r="G148" s="483">
        <v>591.5</v>
      </c>
      <c r="H148" s="433">
        <v>207551.435</v>
      </c>
      <c r="I148" s="435">
        <f t="shared" si="37"/>
        <v>0.99999997590958656</v>
      </c>
      <c r="J148" s="433">
        <f t="shared" si="29"/>
        <v>0</v>
      </c>
      <c r="K148" s="433">
        <f t="shared" si="39"/>
        <v>0</v>
      </c>
      <c r="L148" s="435">
        <f t="shared" si="31"/>
        <v>0</v>
      </c>
      <c r="M148" s="420"/>
      <c r="N148" s="420"/>
      <c r="O148" s="420">
        <f t="shared" si="34"/>
        <v>0</v>
      </c>
      <c r="P148" s="420"/>
      <c r="R148" s="420"/>
    </row>
    <row r="149" spans="1:21" s="402" customFormat="1" ht="63" x14ac:dyDescent="0.2">
      <c r="A149" s="414" t="s">
        <v>533</v>
      </c>
      <c r="B149" s="432" t="s">
        <v>534</v>
      </c>
      <c r="C149" s="433" t="s">
        <v>35</v>
      </c>
      <c r="D149" s="433">
        <v>15.3</v>
      </c>
      <c r="E149" s="433">
        <v>859.27</v>
      </c>
      <c r="F149" s="490">
        <f t="shared" si="38"/>
        <v>13146.83</v>
      </c>
      <c r="G149" s="483">
        <v>0</v>
      </c>
      <c r="H149" s="433">
        <v>0</v>
      </c>
      <c r="I149" s="435">
        <f t="shared" si="37"/>
        <v>0</v>
      </c>
      <c r="J149" s="433">
        <f t="shared" si="29"/>
        <v>15.3</v>
      </c>
      <c r="K149" s="433">
        <f t="shared" si="39"/>
        <v>13146.83</v>
      </c>
      <c r="L149" s="435">
        <f t="shared" si="31"/>
        <v>1</v>
      </c>
      <c r="M149" s="420"/>
      <c r="N149" s="420"/>
      <c r="O149" s="420">
        <f t="shared" si="34"/>
        <v>13146.83</v>
      </c>
      <c r="P149" s="420"/>
      <c r="R149" s="420"/>
    </row>
    <row r="150" spans="1:21" s="402" customFormat="1" ht="47.25" x14ac:dyDescent="0.2">
      <c r="A150" s="414" t="s">
        <v>535</v>
      </c>
      <c r="B150" s="432" t="s">
        <v>536</v>
      </c>
      <c r="C150" s="433" t="s">
        <v>26</v>
      </c>
      <c r="D150" s="433">
        <v>132</v>
      </c>
      <c r="E150" s="433">
        <v>199</v>
      </c>
      <c r="F150" s="490">
        <f t="shared" si="38"/>
        <v>26268</v>
      </c>
      <c r="G150" s="483">
        <v>132</v>
      </c>
      <c r="H150" s="433">
        <v>26268</v>
      </c>
      <c r="I150" s="435">
        <f t="shared" si="37"/>
        <v>1</v>
      </c>
      <c r="J150" s="433">
        <f t="shared" si="29"/>
        <v>0</v>
      </c>
      <c r="K150" s="433">
        <f t="shared" si="39"/>
        <v>0</v>
      </c>
      <c r="L150" s="435">
        <f t="shared" si="31"/>
        <v>0</v>
      </c>
      <c r="M150" s="420"/>
      <c r="N150" s="420"/>
      <c r="O150" s="420">
        <f t="shared" si="34"/>
        <v>0</v>
      </c>
      <c r="P150" s="420"/>
      <c r="R150" s="420"/>
    </row>
    <row r="151" spans="1:21" s="402" customFormat="1" ht="31.5" x14ac:dyDescent="0.2">
      <c r="A151" s="414" t="s">
        <v>537</v>
      </c>
      <c r="B151" s="432" t="s">
        <v>538</v>
      </c>
      <c r="C151" s="433" t="s">
        <v>26</v>
      </c>
      <c r="D151" s="433">
        <v>189.25</v>
      </c>
      <c r="E151" s="433">
        <v>185.05</v>
      </c>
      <c r="F151" s="490">
        <f t="shared" si="38"/>
        <v>35020.71</v>
      </c>
      <c r="G151" s="483">
        <v>189.25</v>
      </c>
      <c r="H151" s="433">
        <v>35020.712500000001</v>
      </c>
      <c r="I151" s="435">
        <f t="shared" si="37"/>
        <v>1.0000000713863313</v>
      </c>
      <c r="J151" s="433">
        <f t="shared" si="29"/>
        <v>0</v>
      </c>
      <c r="K151" s="433">
        <f t="shared" si="39"/>
        <v>0</v>
      </c>
      <c r="L151" s="435">
        <f t="shared" si="31"/>
        <v>0</v>
      </c>
      <c r="M151" s="420"/>
      <c r="N151" s="420"/>
      <c r="O151" s="420">
        <f t="shared" si="34"/>
        <v>0</v>
      </c>
      <c r="P151" s="420"/>
      <c r="R151" s="420"/>
    </row>
    <row r="152" spans="1:21" s="402" customFormat="1" ht="31.5" x14ac:dyDescent="0.2">
      <c r="A152" s="414" t="s">
        <v>539</v>
      </c>
      <c r="B152" s="432" t="s">
        <v>540</v>
      </c>
      <c r="C152" s="433" t="s">
        <v>26</v>
      </c>
      <c r="D152" s="433">
        <v>45.5</v>
      </c>
      <c r="E152" s="433">
        <v>308.02999999999997</v>
      </c>
      <c r="F152" s="490">
        <f t="shared" si="38"/>
        <v>14015.37</v>
      </c>
      <c r="G152" s="483">
        <v>44.5</v>
      </c>
      <c r="H152" s="433">
        <v>13707.334999999999</v>
      </c>
      <c r="I152" s="435">
        <f t="shared" si="37"/>
        <v>0.97802162911146817</v>
      </c>
      <c r="J152" s="433">
        <f t="shared" si="29"/>
        <v>1</v>
      </c>
      <c r="K152" s="433">
        <f t="shared" si="39"/>
        <v>308.02999999999997</v>
      </c>
      <c r="L152" s="435">
        <f t="shared" si="31"/>
        <v>2.1978014137336365E-2</v>
      </c>
      <c r="M152" s="420"/>
      <c r="N152" s="420"/>
      <c r="O152" s="420">
        <f t="shared" si="34"/>
        <v>308.02999999999997</v>
      </c>
      <c r="P152" s="420"/>
      <c r="R152" s="420"/>
      <c r="U152" s="402">
        <v>0</v>
      </c>
    </row>
    <row r="153" spans="1:21" ht="15.75" x14ac:dyDescent="0.2">
      <c r="A153" s="436"/>
      <c r="B153" s="422" t="s">
        <v>291</v>
      </c>
      <c r="C153" s="424"/>
      <c r="D153" s="424"/>
      <c r="E153" s="424"/>
      <c r="F153" s="427">
        <f>SUM(F147:F152)</f>
        <v>370702.89</v>
      </c>
      <c r="G153" s="485">
        <v>0</v>
      </c>
      <c r="H153" s="425">
        <v>282547.48250000004</v>
      </c>
      <c r="I153" s="429">
        <f t="shared" si="37"/>
        <v>0.76219390277750476</v>
      </c>
      <c r="J153" s="430">
        <f t="shared" si="29"/>
        <v>0</v>
      </c>
      <c r="K153" s="425">
        <f>SUM(K147:K152)</f>
        <v>88155.4</v>
      </c>
      <c r="L153" s="429">
        <f t="shared" si="31"/>
        <v>0.23780607699065953</v>
      </c>
      <c r="M153" s="420"/>
      <c r="N153" s="420">
        <f>K153</f>
        <v>88155.4</v>
      </c>
      <c r="O153" s="420">
        <f t="shared" si="34"/>
        <v>0</v>
      </c>
      <c r="P153" s="420"/>
      <c r="R153" s="420"/>
      <c r="U153" s="386">
        <v>0</v>
      </c>
    </row>
    <row r="154" spans="1:21" ht="15.75" x14ac:dyDescent="0.2">
      <c r="A154" s="436"/>
      <c r="B154" s="422"/>
      <c r="C154" s="424"/>
      <c r="D154" s="424"/>
      <c r="E154" s="424"/>
      <c r="F154" s="427"/>
      <c r="G154" s="485">
        <v>0</v>
      </c>
      <c r="H154" s="424"/>
      <c r="I154" s="429"/>
      <c r="J154" s="430">
        <f t="shared" si="29"/>
        <v>0</v>
      </c>
      <c r="K154" s="426"/>
      <c r="L154" s="431">
        <f t="shared" si="31"/>
        <v>0</v>
      </c>
      <c r="M154" s="420"/>
      <c r="N154" s="420"/>
      <c r="O154" s="420">
        <f t="shared" si="34"/>
        <v>0</v>
      </c>
      <c r="P154" s="420"/>
      <c r="R154" s="420"/>
      <c r="U154" s="386">
        <v>0</v>
      </c>
    </row>
    <row r="155" spans="1:21" ht="15.75" x14ac:dyDescent="0.2">
      <c r="A155" s="421" t="s">
        <v>541</v>
      </c>
      <c r="B155" s="422" t="s">
        <v>542</v>
      </c>
      <c r="C155" s="424"/>
      <c r="D155" s="424"/>
      <c r="E155" s="424"/>
      <c r="F155" s="427"/>
      <c r="G155" s="485">
        <v>0</v>
      </c>
      <c r="H155" s="424"/>
      <c r="I155" s="429"/>
      <c r="J155" s="430"/>
      <c r="K155" s="426"/>
      <c r="L155" s="431"/>
      <c r="M155" s="420"/>
      <c r="N155" s="420"/>
      <c r="O155" s="420">
        <f t="shared" si="34"/>
        <v>0</v>
      </c>
      <c r="P155" s="420"/>
      <c r="R155" s="420"/>
    </row>
    <row r="156" spans="1:21" s="402" customFormat="1" ht="63" x14ac:dyDescent="0.2">
      <c r="A156" s="414">
        <v>100101</v>
      </c>
      <c r="B156" s="432" t="s">
        <v>543</v>
      </c>
      <c r="C156" s="433" t="s">
        <v>35</v>
      </c>
      <c r="D156" s="433">
        <v>313.36</v>
      </c>
      <c r="E156" s="433">
        <v>346.72</v>
      </c>
      <c r="F156" s="490">
        <f t="shared" ref="F156:F157" si="40">ROUND((E156*D156),2)</f>
        <v>108648.18</v>
      </c>
      <c r="G156" s="483">
        <v>313.35999999999996</v>
      </c>
      <c r="H156" s="433">
        <v>108648.1792</v>
      </c>
      <c r="I156" s="435">
        <f t="shared" ref="I156:I167" si="41">IF(F156=0,0,H156/F156)</f>
        <v>0.99999999263678419</v>
      </c>
      <c r="J156" s="433">
        <f t="shared" ref="J156:J171" si="42">D156-G156</f>
        <v>0</v>
      </c>
      <c r="K156" s="433">
        <f>ROUND((J156*E156),2)</f>
        <v>0</v>
      </c>
      <c r="L156" s="435">
        <f t="shared" ref="L156:L187" si="43">IF(F156=0,0,K156/F156)</f>
        <v>0</v>
      </c>
      <c r="M156" s="420"/>
      <c r="N156" s="420"/>
      <c r="O156" s="420">
        <f t="shared" si="34"/>
        <v>0</v>
      </c>
      <c r="P156" s="420"/>
      <c r="R156" s="420"/>
    </row>
    <row r="157" spans="1:21" s="402" customFormat="1" ht="47.25" x14ac:dyDescent="0.2">
      <c r="A157" s="414" t="s">
        <v>544</v>
      </c>
      <c r="B157" s="432" t="s">
        <v>545</v>
      </c>
      <c r="C157" s="433" t="s">
        <v>35</v>
      </c>
      <c r="D157" s="433">
        <v>152.16</v>
      </c>
      <c r="E157" s="433">
        <v>103.61</v>
      </c>
      <c r="F157" s="490">
        <f t="shared" si="40"/>
        <v>15765.3</v>
      </c>
      <c r="G157" s="483">
        <v>152.16</v>
      </c>
      <c r="H157" s="433">
        <v>15765.2976</v>
      </c>
      <c r="I157" s="435">
        <f t="shared" si="41"/>
        <v>0.99999984776693118</v>
      </c>
      <c r="J157" s="433">
        <f t="shared" si="42"/>
        <v>0</v>
      </c>
      <c r="K157" s="433">
        <f>ROUND((J157*E157),2)</f>
        <v>0</v>
      </c>
      <c r="L157" s="435">
        <f t="shared" si="43"/>
        <v>0</v>
      </c>
      <c r="M157" s="420"/>
      <c r="N157" s="420"/>
      <c r="O157" s="420">
        <f t="shared" si="34"/>
        <v>0</v>
      </c>
      <c r="P157" s="420"/>
      <c r="R157" s="420"/>
      <c r="U157" s="402">
        <v>0</v>
      </c>
    </row>
    <row r="158" spans="1:21" ht="15.75" x14ac:dyDescent="0.2">
      <c r="A158" s="436"/>
      <c r="B158" s="422" t="s">
        <v>292</v>
      </c>
      <c r="C158" s="424"/>
      <c r="D158" s="424"/>
      <c r="E158" s="424"/>
      <c r="F158" s="427">
        <f>SUM(F156:F157)</f>
        <v>124413.48</v>
      </c>
      <c r="G158" s="485">
        <v>0</v>
      </c>
      <c r="H158" s="425">
        <v>124413.4768</v>
      </c>
      <c r="I158" s="429">
        <f t="shared" si="41"/>
        <v>0.99999997427931453</v>
      </c>
      <c r="J158" s="430">
        <f t="shared" si="42"/>
        <v>0</v>
      </c>
      <c r="K158" s="425">
        <f>SUM(K156:K157)</f>
        <v>0</v>
      </c>
      <c r="L158" s="429">
        <f t="shared" si="43"/>
        <v>0</v>
      </c>
      <c r="M158" s="420"/>
      <c r="N158" s="420"/>
      <c r="O158" s="420">
        <f t="shared" si="34"/>
        <v>0</v>
      </c>
      <c r="P158" s="420"/>
      <c r="R158" s="420"/>
      <c r="U158" s="386">
        <v>0</v>
      </c>
    </row>
    <row r="159" spans="1:21" ht="15.75" x14ac:dyDescent="0.2">
      <c r="A159" s="421"/>
      <c r="B159" s="422"/>
      <c r="C159" s="424">
        <v>0</v>
      </c>
      <c r="D159" s="424">
        <v>0</v>
      </c>
      <c r="E159" s="424">
        <v>0</v>
      </c>
      <c r="F159" s="491">
        <f t="shared" ref="F159" si="44">D159*E159</f>
        <v>0</v>
      </c>
      <c r="G159" s="485">
        <v>0</v>
      </c>
      <c r="H159" s="424"/>
      <c r="I159" s="431">
        <f t="shared" si="41"/>
        <v>0</v>
      </c>
      <c r="J159" s="430">
        <f t="shared" si="42"/>
        <v>0</v>
      </c>
      <c r="K159" s="425"/>
      <c r="L159" s="431">
        <f t="shared" si="43"/>
        <v>0</v>
      </c>
      <c r="M159" s="420"/>
      <c r="N159" s="420"/>
      <c r="O159" s="420">
        <f t="shared" si="34"/>
        <v>0</v>
      </c>
      <c r="P159" s="420"/>
      <c r="R159" s="420"/>
      <c r="U159" s="386">
        <v>0</v>
      </c>
    </row>
    <row r="160" spans="1:21" s="412" customFormat="1" ht="15.75" x14ac:dyDescent="0.2">
      <c r="A160" s="441" t="s">
        <v>546</v>
      </c>
      <c r="B160" s="442" t="s">
        <v>547</v>
      </c>
      <c r="C160" s="433"/>
      <c r="D160" s="433"/>
      <c r="E160" s="433"/>
      <c r="F160" s="490">
        <f>E160*D160</f>
        <v>0</v>
      </c>
      <c r="G160" s="483">
        <v>0</v>
      </c>
      <c r="H160" s="433">
        <v>0</v>
      </c>
      <c r="I160" s="435">
        <f t="shared" si="41"/>
        <v>0</v>
      </c>
      <c r="J160" s="433">
        <f t="shared" si="42"/>
        <v>0</v>
      </c>
      <c r="K160" s="433">
        <f t="shared" ref="K160:K166" si="45">ROUND((J160*E160),2)</f>
        <v>0</v>
      </c>
      <c r="L160" s="435">
        <f t="shared" si="43"/>
        <v>0</v>
      </c>
      <c r="M160" s="420"/>
      <c r="N160" s="420"/>
      <c r="O160" s="420">
        <f t="shared" si="34"/>
        <v>0</v>
      </c>
      <c r="P160" s="420"/>
      <c r="R160" s="420"/>
      <c r="U160" s="412">
        <v>0</v>
      </c>
    </row>
    <row r="161" spans="1:21" s="413" customFormat="1" ht="31.5" x14ac:dyDescent="0.2">
      <c r="A161" s="414" t="s">
        <v>548</v>
      </c>
      <c r="B161" s="432" t="s">
        <v>549</v>
      </c>
      <c r="C161" s="433" t="s">
        <v>35</v>
      </c>
      <c r="D161" s="433">
        <v>7.32</v>
      </c>
      <c r="E161" s="433">
        <v>15.43</v>
      </c>
      <c r="F161" s="490">
        <f t="shared" ref="F161:F166" si="46">ROUND((E161*D161),2)</f>
        <v>112.95</v>
      </c>
      <c r="G161" s="483">
        <v>0</v>
      </c>
      <c r="H161" s="433">
        <v>0</v>
      </c>
      <c r="I161" s="435">
        <f t="shared" si="41"/>
        <v>0</v>
      </c>
      <c r="J161" s="433">
        <f t="shared" si="42"/>
        <v>7.32</v>
      </c>
      <c r="K161" s="433">
        <f t="shared" si="45"/>
        <v>112.95</v>
      </c>
      <c r="L161" s="435">
        <f t="shared" si="43"/>
        <v>1</v>
      </c>
      <c r="M161" s="420"/>
      <c r="N161" s="420"/>
      <c r="O161" s="420">
        <f t="shared" si="34"/>
        <v>112.95</v>
      </c>
      <c r="P161" s="420"/>
      <c r="R161" s="420"/>
      <c r="U161" s="413">
        <v>0</v>
      </c>
    </row>
    <row r="162" spans="1:21" s="402" customFormat="1" ht="47.25" x14ac:dyDescent="0.2">
      <c r="A162" s="414" t="s">
        <v>550</v>
      </c>
      <c r="B162" s="432" t="s">
        <v>551</v>
      </c>
      <c r="C162" s="433" t="s">
        <v>35</v>
      </c>
      <c r="D162" s="433">
        <v>78</v>
      </c>
      <c r="E162" s="433">
        <v>20.67</v>
      </c>
      <c r="F162" s="490">
        <f t="shared" si="46"/>
        <v>1612.26</v>
      </c>
      <c r="G162" s="483">
        <v>0</v>
      </c>
      <c r="H162" s="433">
        <v>0</v>
      </c>
      <c r="I162" s="435">
        <f t="shared" si="41"/>
        <v>0</v>
      </c>
      <c r="J162" s="433">
        <f t="shared" si="42"/>
        <v>78</v>
      </c>
      <c r="K162" s="433">
        <f t="shared" si="45"/>
        <v>1612.26</v>
      </c>
      <c r="L162" s="435">
        <f t="shared" si="43"/>
        <v>1</v>
      </c>
      <c r="M162" s="420"/>
      <c r="N162" s="420"/>
      <c r="O162" s="420">
        <f t="shared" si="34"/>
        <v>1612.26</v>
      </c>
      <c r="P162" s="420"/>
      <c r="R162" s="420"/>
      <c r="U162" s="402">
        <v>0</v>
      </c>
    </row>
    <row r="163" spans="1:21" s="412" customFormat="1" ht="15.75" x14ac:dyDescent="0.2">
      <c r="A163" s="414" t="s">
        <v>552</v>
      </c>
      <c r="B163" s="432" t="s">
        <v>553</v>
      </c>
      <c r="C163" s="433" t="s">
        <v>35</v>
      </c>
      <c r="D163" s="433">
        <v>184.02</v>
      </c>
      <c r="E163" s="433">
        <v>61.84</v>
      </c>
      <c r="F163" s="490">
        <f t="shared" si="46"/>
        <v>11379.8</v>
      </c>
      <c r="G163" s="483">
        <v>24.76</v>
      </c>
      <c r="H163" s="433">
        <v>1531.1584000000003</v>
      </c>
      <c r="I163" s="435">
        <f t="shared" si="41"/>
        <v>0.13455055449129161</v>
      </c>
      <c r="J163" s="434">
        <f t="shared" si="42"/>
        <v>159.26000000000002</v>
      </c>
      <c r="K163" s="433">
        <f t="shared" si="45"/>
        <v>9848.64</v>
      </c>
      <c r="L163" s="435">
        <f t="shared" si="43"/>
        <v>0.86544930490869787</v>
      </c>
      <c r="M163" s="420"/>
      <c r="N163" s="420"/>
      <c r="O163" s="420">
        <f t="shared" si="34"/>
        <v>9848.64</v>
      </c>
      <c r="P163" s="420"/>
      <c r="R163" s="420"/>
      <c r="U163" s="412">
        <v>0</v>
      </c>
    </row>
    <row r="164" spans="1:21" s="412" customFormat="1" ht="31.5" x14ac:dyDescent="0.2">
      <c r="A164" s="414" t="s">
        <v>554</v>
      </c>
      <c r="B164" s="432" t="s">
        <v>555</v>
      </c>
      <c r="C164" s="433" t="s">
        <v>26</v>
      </c>
      <c r="D164" s="433">
        <v>127.27</v>
      </c>
      <c r="E164" s="433">
        <v>26.17</v>
      </c>
      <c r="F164" s="490">
        <f t="shared" si="46"/>
        <v>3330.66</v>
      </c>
      <c r="G164" s="483">
        <v>24.67</v>
      </c>
      <c r="H164" s="433">
        <v>645.61390000000006</v>
      </c>
      <c r="I164" s="435">
        <f t="shared" si="41"/>
        <v>0.193839629382765</v>
      </c>
      <c r="J164" s="433">
        <f t="shared" si="42"/>
        <v>102.6</v>
      </c>
      <c r="K164" s="433">
        <f t="shared" si="45"/>
        <v>2685.04</v>
      </c>
      <c r="L164" s="435">
        <f t="shared" si="43"/>
        <v>0.80615853914839708</v>
      </c>
      <c r="M164" s="420"/>
      <c r="N164" s="420"/>
      <c r="O164" s="420">
        <f t="shared" si="34"/>
        <v>2685.04</v>
      </c>
      <c r="P164" s="420"/>
      <c r="R164" s="420"/>
    </row>
    <row r="165" spans="1:21" s="412" customFormat="1" ht="63" x14ac:dyDescent="0.2">
      <c r="A165" s="414" t="s">
        <v>556</v>
      </c>
      <c r="B165" s="432" t="s">
        <v>557</v>
      </c>
      <c r="C165" s="433" t="s">
        <v>35</v>
      </c>
      <c r="D165" s="433">
        <v>201</v>
      </c>
      <c r="E165" s="433">
        <v>121.78</v>
      </c>
      <c r="F165" s="490">
        <f t="shared" si="46"/>
        <v>24477.78</v>
      </c>
      <c r="G165" s="483">
        <v>100.5</v>
      </c>
      <c r="H165" s="433">
        <v>12238.89</v>
      </c>
      <c r="I165" s="435">
        <f t="shared" si="41"/>
        <v>0.5</v>
      </c>
      <c r="J165" s="433">
        <f t="shared" si="42"/>
        <v>100.5</v>
      </c>
      <c r="K165" s="433">
        <f t="shared" si="45"/>
        <v>12238.89</v>
      </c>
      <c r="L165" s="435">
        <f t="shared" si="43"/>
        <v>0.5</v>
      </c>
      <c r="M165" s="420"/>
      <c r="N165" s="420"/>
      <c r="O165" s="420">
        <f t="shared" si="34"/>
        <v>12238.89</v>
      </c>
      <c r="P165" s="420"/>
      <c r="R165" s="420"/>
    </row>
    <row r="166" spans="1:21" s="412" customFormat="1" ht="47.25" x14ac:dyDescent="0.2">
      <c r="A166" s="414" t="s">
        <v>558</v>
      </c>
      <c r="B166" s="432" t="s">
        <v>559</v>
      </c>
      <c r="C166" s="433" t="s">
        <v>35</v>
      </c>
      <c r="D166" s="433">
        <v>78</v>
      </c>
      <c r="E166" s="433">
        <v>72.709999999999994</v>
      </c>
      <c r="F166" s="490">
        <f t="shared" si="46"/>
        <v>5671.38</v>
      </c>
      <c r="G166" s="483">
        <v>0</v>
      </c>
      <c r="H166" s="433">
        <v>0</v>
      </c>
      <c r="I166" s="435">
        <f t="shared" si="41"/>
        <v>0</v>
      </c>
      <c r="J166" s="433">
        <f t="shared" si="42"/>
        <v>78</v>
      </c>
      <c r="K166" s="433">
        <f t="shared" si="45"/>
        <v>5671.38</v>
      </c>
      <c r="L166" s="435">
        <f t="shared" si="43"/>
        <v>1</v>
      </c>
      <c r="M166" s="420"/>
      <c r="N166" s="420"/>
      <c r="O166" s="420">
        <f t="shared" si="34"/>
        <v>5671.38</v>
      </c>
      <c r="P166" s="420"/>
      <c r="R166" s="420"/>
    </row>
    <row r="167" spans="1:21" ht="15.75" x14ac:dyDescent="0.2">
      <c r="A167" s="436"/>
      <c r="B167" s="422" t="s">
        <v>300</v>
      </c>
      <c r="C167" s="424"/>
      <c r="D167" s="424"/>
      <c r="E167" s="424"/>
      <c r="F167" s="427">
        <f>SUM(F161:F166)</f>
        <v>46584.829999999994</v>
      </c>
      <c r="G167" s="428">
        <v>0</v>
      </c>
      <c r="H167" s="425">
        <v>14415.6623</v>
      </c>
      <c r="I167" s="429">
        <f t="shared" si="41"/>
        <v>0.30944971356555345</v>
      </c>
      <c r="J167" s="430">
        <f t="shared" si="42"/>
        <v>0</v>
      </c>
      <c r="K167" s="425">
        <f>SUM(K161:K166)</f>
        <v>32169.16</v>
      </c>
      <c r="L167" s="429">
        <f t="shared" si="43"/>
        <v>0.69055012114458725</v>
      </c>
      <c r="M167" s="420"/>
      <c r="N167" s="420">
        <f>K167</f>
        <v>32169.16</v>
      </c>
      <c r="O167" s="420">
        <f t="shared" si="34"/>
        <v>0</v>
      </c>
      <c r="P167" s="420"/>
      <c r="R167" s="420"/>
      <c r="U167" s="386">
        <v>0</v>
      </c>
    </row>
    <row r="168" spans="1:21" ht="15.75" x14ac:dyDescent="0.2">
      <c r="A168" s="436"/>
      <c r="B168" s="422"/>
      <c r="C168" s="424"/>
      <c r="D168" s="424"/>
      <c r="E168" s="424"/>
      <c r="F168" s="427"/>
      <c r="G168" s="428">
        <v>0</v>
      </c>
      <c r="H168" s="424"/>
      <c r="I168" s="429"/>
      <c r="J168" s="430">
        <f t="shared" si="42"/>
        <v>0</v>
      </c>
      <c r="K168" s="426"/>
      <c r="L168" s="431">
        <f t="shared" si="43"/>
        <v>0</v>
      </c>
      <c r="M168" s="420"/>
      <c r="N168" s="420"/>
      <c r="O168" s="420">
        <f t="shared" si="34"/>
        <v>0</v>
      </c>
      <c r="P168" s="420"/>
      <c r="R168" s="420"/>
      <c r="U168" s="386">
        <v>0</v>
      </c>
    </row>
    <row r="169" spans="1:21" ht="15.75" x14ac:dyDescent="0.2">
      <c r="A169" s="421" t="s">
        <v>560</v>
      </c>
      <c r="B169" s="422" t="s">
        <v>561</v>
      </c>
      <c r="C169" s="424">
        <v>0</v>
      </c>
      <c r="D169" s="424">
        <v>0</v>
      </c>
      <c r="E169" s="424">
        <v>0</v>
      </c>
      <c r="F169" s="491">
        <f t="shared" ref="F169" si="47">D169*E169</f>
        <v>0</v>
      </c>
      <c r="G169" s="428">
        <v>0</v>
      </c>
      <c r="H169" s="424"/>
      <c r="I169" s="431">
        <f t="shared" ref="I169:I179" si="48">IF(F169=0,0,H169/F169)</f>
        <v>0</v>
      </c>
      <c r="J169" s="430">
        <f t="shared" si="42"/>
        <v>0</v>
      </c>
      <c r="K169" s="424"/>
      <c r="L169" s="431">
        <f t="shared" si="43"/>
        <v>0</v>
      </c>
      <c r="M169" s="420"/>
      <c r="N169" s="420"/>
      <c r="O169" s="420">
        <f t="shared" si="34"/>
        <v>0</v>
      </c>
      <c r="P169" s="420"/>
      <c r="R169" s="420"/>
      <c r="U169" s="386">
        <v>0</v>
      </c>
    </row>
    <row r="170" spans="1:21" s="412" customFormat="1" ht="63" x14ac:dyDescent="0.2">
      <c r="A170" s="414" t="s">
        <v>562</v>
      </c>
      <c r="B170" s="432" t="s">
        <v>563</v>
      </c>
      <c r="C170" s="433" t="s">
        <v>35</v>
      </c>
      <c r="D170" s="433">
        <v>798.56</v>
      </c>
      <c r="E170" s="433">
        <v>8.17</v>
      </c>
      <c r="F170" s="490">
        <f t="shared" ref="F170:F178" si="49">ROUND((E170*D170),2)</f>
        <v>6524.24</v>
      </c>
      <c r="G170" s="483">
        <v>788.9799999999999</v>
      </c>
      <c r="H170" s="433">
        <v>6445.9665999999988</v>
      </c>
      <c r="I170" s="435">
        <f t="shared" si="48"/>
        <v>0.98800267923926754</v>
      </c>
      <c r="J170" s="433">
        <f t="shared" si="42"/>
        <v>9.5800000000000409</v>
      </c>
      <c r="K170" s="433">
        <f t="shared" ref="K170:K178" si="50">ROUND((J170*E170),2)</f>
        <v>78.27</v>
      </c>
      <c r="L170" s="435">
        <f t="shared" si="43"/>
        <v>1.1996799627236276E-2</v>
      </c>
      <c r="M170" s="420"/>
      <c r="N170" s="420"/>
      <c r="O170" s="420">
        <f t="shared" si="34"/>
        <v>78.27</v>
      </c>
      <c r="P170" s="420"/>
      <c r="R170" s="420"/>
      <c r="U170" s="412">
        <v>1455.077</v>
      </c>
    </row>
    <row r="171" spans="1:21" ht="31.5" x14ac:dyDescent="0.2">
      <c r="A171" s="414" t="s">
        <v>564</v>
      </c>
      <c r="B171" s="432" t="s">
        <v>565</v>
      </c>
      <c r="C171" s="433" t="s">
        <v>35</v>
      </c>
      <c r="D171" s="433">
        <v>868.58</v>
      </c>
      <c r="E171" s="433">
        <v>8.17</v>
      </c>
      <c r="F171" s="490">
        <f t="shared" si="49"/>
        <v>7096.3</v>
      </c>
      <c r="G171" s="483">
        <v>380.13799999999998</v>
      </c>
      <c r="H171" s="433">
        <v>3105.7274599999996</v>
      </c>
      <c r="I171" s="435">
        <f t="shared" si="48"/>
        <v>0.43765447627636933</v>
      </c>
      <c r="J171" s="433">
        <f t="shared" si="42"/>
        <v>488.44200000000006</v>
      </c>
      <c r="K171" s="433">
        <f t="shared" si="50"/>
        <v>3990.57</v>
      </c>
      <c r="L171" s="435">
        <f t="shared" si="43"/>
        <v>0.56234516579062332</v>
      </c>
      <c r="M171" s="420"/>
      <c r="N171" s="420"/>
      <c r="O171" s="420">
        <f t="shared" si="34"/>
        <v>3990.57</v>
      </c>
      <c r="P171" s="420"/>
      <c r="R171" s="420"/>
      <c r="U171" s="386">
        <v>77.288200000000003</v>
      </c>
    </row>
    <row r="172" spans="1:21" ht="48" customHeight="1" x14ac:dyDescent="0.2">
      <c r="A172" s="414" t="s">
        <v>566</v>
      </c>
      <c r="B172" s="432" t="s">
        <v>567</v>
      </c>
      <c r="C172" s="433" t="s">
        <v>35</v>
      </c>
      <c r="D172" s="433">
        <v>2374.64</v>
      </c>
      <c r="E172" s="433">
        <v>607.12</v>
      </c>
      <c r="F172" s="490">
        <f t="shared" si="49"/>
        <v>1441691.44</v>
      </c>
      <c r="G172" s="483">
        <v>2374.6424999999999</v>
      </c>
      <c r="H172" s="433">
        <v>1441691.43</v>
      </c>
      <c r="I172" s="435">
        <f t="shared" si="48"/>
        <v>0.99999999306370302</v>
      </c>
      <c r="J172" s="433"/>
      <c r="K172" s="433">
        <f t="shared" si="50"/>
        <v>0</v>
      </c>
      <c r="L172" s="435">
        <f t="shared" si="43"/>
        <v>0</v>
      </c>
      <c r="M172" s="420"/>
      <c r="N172" s="420"/>
      <c r="O172" s="420">
        <f t="shared" si="34"/>
        <v>0</v>
      </c>
      <c r="P172" s="420"/>
      <c r="R172" s="420"/>
      <c r="U172" s="386">
        <v>43566.931200000006</v>
      </c>
    </row>
    <row r="173" spans="1:21" s="402" customFormat="1" ht="63" x14ac:dyDescent="0.2">
      <c r="A173" s="414" t="s">
        <v>568</v>
      </c>
      <c r="B173" s="432" t="s">
        <v>569</v>
      </c>
      <c r="C173" s="433" t="s">
        <v>26</v>
      </c>
      <c r="D173" s="433">
        <v>126.58</v>
      </c>
      <c r="E173" s="433">
        <v>2204.37</v>
      </c>
      <c r="F173" s="490">
        <f t="shared" si="49"/>
        <v>279029.15000000002</v>
      </c>
      <c r="G173" s="483">
        <v>126.58</v>
      </c>
      <c r="H173" s="433">
        <v>279029.15460000001</v>
      </c>
      <c r="I173" s="435">
        <f t="shared" si="48"/>
        <v>1.0000000164857328</v>
      </c>
      <c r="J173" s="433">
        <f t="shared" ref="J173:J204" si="51">D173-G173</f>
        <v>0</v>
      </c>
      <c r="K173" s="433">
        <f t="shared" si="50"/>
        <v>0</v>
      </c>
      <c r="L173" s="435">
        <f t="shared" si="43"/>
        <v>0</v>
      </c>
      <c r="M173" s="420"/>
      <c r="N173" s="420"/>
      <c r="O173" s="420">
        <f t="shared" si="34"/>
        <v>0</v>
      </c>
      <c r="P173" s="420"/>
      <c r="R173" s="420"/>
      <c r="U173" s="402">
        <v>21161.951999999997</v>
      </c>
    </row>
    <row r="174" spans="1:21" s="402" customFormat="1" ht="85.5" customHeight="1" x14ac:dyDescent="0.2">
      <c r="A174" s="414" t="s">
        <v>570</v>
      </c>
      <c r="B174" s="432" t="s">
        <v>571</v>
      </c>
      <c r="C174" s="433" t="s">
        <v>35</v>
      </c>
      <c r="D174" s="433">
        <v>163.68</v>
      </c>
      <c r="E174" s="433">
        <v>148.16</v>
      </c>
      <c r="F174" s="490">
        <f t="shared" si="49"/>
        <v>24250.83</v>
      </c>
      <c r="G174" s="483">
        <v>163.68</v>
      </c>
      <c r="H174" s="433">
        <v>24250.828799999999</v>
      </c>
      <c r="I174" s="435">
        <f t="shared" si="48"/>
        <v>0.99999995051715751</v>
      </c>
      <c r="J174" s="433">
        <f t="shared" si="51"/>
        <v>0</v>
      </c>
      <c r="K174" s="433">
        <f t="shared" si="50"/>
        <v>0</v>
      </c>
      <c r="L174" s="435">
        <f t="shared" si="43"/>
        <v>0</v>
      </c>
      <c r="M174" s="420"/>
      <c r="N174" s="420"/>
      <c r="O174" s="420">
        <f t="shared" si="34"/>
        <v>0</v>
      </c>
      <c r="P174" s="420"/>
      <c r="R174" s="420"/>
      <c r="U174" s="402">
        <v>0</v>
      </c>
    </row>
    <row r="175" spans="1:21" s="402" customFormat="1" ht="31.5" x14ac:dyDescent="0.2">
      <c r="A175" s="414" t="s">
        <v>572</v>
      </c>
      <c r="B175" s="432" t="s">
        <v>573</v>
      </c>
      <c r="C175" s="433" t="s">
        <v>26</v>
      </c>
      <c r="D175" s="433">
        <v>15</v>
      </c>
      <c r="E175" s="433">
        <v>20.55</v>
      </c>
      <c r="F175" s="490">
        <f t="shared" si="49"/>
        <v>308.25</v>
      </c>
      <c r="G175" s="483">
        <v>6</v>
      </c>
      <c r="H175" s="433">
        <v>123.30000000000001</v>
      </c>
      <c r="I175" s="435">
        <f t="shared" si="48"/>
        <v>0.4</v>
      </c>
      <c r="J175" s="433">
        <f t="shared" si="51"/>
        <v>9</v>
      </c>
      <c r="K175" s="433">
        <f t="shared" si="50"/>
        <v>184.95</v>
      </c>
      <c r="L175" s="435">
        <f t="shared" si="43"/>
        <v>0.6</v>
      </c>
      <c r="M175" s="420"/>
      <c r="N175" s="420"/>
      <c r="O175" s="420">
        <f t="shared" si="34"/>
        <v>184.95</v>
      </c>
      <c r="P175" s="420"/>
      <c r="R175" s="420"/>
    </row>
    <row r="176" spans="1:21" s="402" customFormat="1" ht="84.75" customHeight="1" x14ac:dyDescent="0.2">
      <c r="A176" s="414" t="s">
        <v>574</v>
      </c>
      <c r="B176" s="432" t="s">
        <v>575</v>
      </c>
      <c r="C176" s="433" t="s">
        <v>35</v>
      </c>
      <c r="D176" s="433">
        <v>798.56</v>
      </c>
      <c r="E176" s="433">
        <v>64.739999999999995</v>
      </c>
      <c r="F176" s="490">
        <f t="shared" si="49"/>
        <v>51698.77</v>
      </c>
      <c r="G176" s="483">
        <v>798.56000000000006</v>
      </c>
      <c r="H176" s="433">
        <v>51698.774400000002</v>
      </c>
      <c r="I176" s="435">
        <f t="shared" si="48"/>
        <v>1.0000000851084079</v>
      </c>
      <c r="J176" s="433">
        <f t="shared" si="51"/>
        <v>0</v>
      </c>
      <c r="K176" s="433">
        <f t="shared" si="50"/>
        <v>0</v>
      </c>
      <c r="L176" s="435">
        <f t="shared" si="43"/>
        <v>0</v>
      </c>
      <c r="M176" s="420"/>
      <c r="N176" s="420"/>
      <c r="O176" s="420">
        <f t="shared" si="34"/>
        <v>0</v>
      </c>
      <c r="P176" s="420">
        <f>G177-G174</f>
        <v>-2.5810000000000173</v>
      </c>
      <c r="R176" s="420"/>
      <c r="U176" s="402">
        <v>11530.194</v>
      </c>
    </row>
    <row r="177" spans="1:21" s="402" customFormat="1" ht="47.25" x14ac:dyDescent="0.2">
      <c r="A177" s="414" t="s">
        <v>576</v>
      </c>
      <c r="B177" s="432" t="s">
        <v>577</v>
      </c>
      <c r="C177" s="433" t="s">
        <v>35</v>
      </c>
      <c r="D177" s="433">
        <v>163.68</v>
      </c>
      <c r="E177" s="433">
        <v>38.369999999999997</v>
      </c>
      <c r="F177" s="490">
        <f t="shared" si="49"/>
        <v>6280.4</v>
      </c>
      <c r="G177" s="483">
        <v>161.09899999999999</v>
      </c>
      <c r="H177" s="433">
        <v>6181.368629999999</v>
      </c>
      <c r="I177" s="435">
        <f t="shared" si="48"/>
        <v>0.98423167791860378</v>
      </c>
      <c r="J177" s="433">
        <f t="shared" si="51"/>
        <v>2.5810000000000173</v>
      </c>
      <c r="K177" s="433">
        <f t="shared" si="50"/>
        <v>99.03</v>
      </c>
      <c r="L177" s="435">
        <f t="shared" si="43"/>
        <v>1.5768103942424051E-2</v>
      </c>
      <c r="M177" s="420"/>
      <c r="N177" s="420"/>
      <c r="O177" s="420">
        <f t="shared" si="34"/>
        <v>99.03</v>
      </c>
      <c r="P177" s="420"/>
      <c r="R177" s="420"/>
    </row>
    <row r="178" spans="1:21" s="402" customFormat="1" ht="47.25" x14ac:dyDescent="0.2">
      <c r="A178" s="414" t="s">
        <v>578</v>
      </c>
      <c r="B178" s="432" t="s">
        <v>579</v>
      </c>
      <c r="C178" s="433" t="s">
        <v>35</v>
      </c>
      <c r="D178" s="433">
        <v>704.9</v>
      </c>
      <c r="E178" s="433">
        <v>64.739999999999995</v>
      </c>
      <c r="F178" s="490">
        <f t="shared" si="49"/>
        <v>45635.23</v>
      </c>
      <c r="G178" s="483">
        <v>401.53649999999999</v>
      </c>
      <c r="H178" s="433">
        <v>25995.473009999998</v>
      </c>
      <c r="I178" s="435">
        <f t="shared" si="48"/>
        <v>0.56963606866887706</v>
      </c>
      <c r="J178" s="433">
        <f t="shared" si="51"/>
        <v>303.36349999999999</v>
      </c>
      <c r="K178" s="433">
        <f t="shared" si="50"/>
        <v>19639.75</v>
      </c>
      <c r="L178" s="435">
        <f t="shared" si="43"/>
        <v>0.43036377815998733</v>
      </c>
      <c r="M178" s="420"/>
      <c r="N178" s="420"/>
      <c r="O178" s="420">
        <f t="shared" si="34"/>
        <v>19639.75</v>
      </c>
      <c r="P178" s="420"/>
      <c r="R178" s="420"/>
      <c r="U178" s="402">
        <v>1392.5573999999999</v>
      </c>
    </row>
    <row r="179" spans="1:21" ht="15.75" x14ac:dyDescent="0.2">
      <c r="A179" s="436"/>
      <c r="B179" s="422" t="s">
        <v>293</v>
      </c>
      <c r="C179" s="424"/>
      <c r="D179" s="424"/>
      <c r="E179" s="424"/>
      <c r="F179" s="427">
        <f>SUM(F170:F178)</f>
        <v>1862514.6099999999</v>
      </c>
      <c r="G179" s="440">
        <v>0</v>
      </c>
      <c r="H179" s="426">
        <v>1838522.0234999999</v>
      </c>
      <c r="I179" s="429">
        <f t="shared" si="48"/>
        <v>0.98711817541125224</v>
      </c>
      <c r="J179" s="430">
        <f t="shared" si="51"/>
        <v>0</v>
      </c>
      <c r="K179" s="425">
        <f>SUM(K170:K178)</f>
        <v>23992.57</v>
      </c>
      <c r="L179" s="429">
        <f t="shared" si="43"/>
        <v>1.288181572975688E-2</v>
      </c>
      <c r="M179" s="420"/>
      <c r="N179" s="420">
        <f>K179</f>
        <v>23992.57</v>
      </c>
      <c r="O179" s="420">
        <f t="shared" si="34"/>
        <v>0</v>
      </c>
      <c r="P179" s="420"/>
      <c r="R179" s="420"/>
      <c r="U179" s="386">
        <v>79183.99980000002</v>
      </c>
    </row>
    <row r="180" spans="1:21" ht="15.75" x14ac:dyDescent="0.2">
      <c r="A180" s="436"/>
      <c r="B180" s="422"/>
      <c r="C180" s="424"/>
      <c r="D180" s="424"/>
      <c r="E180" s="424"/>
      <c r="F180" s="427"/>
      <c r="G180" s="440">
        <v>0</v>
      </c>
      <c r="H180" s="424"/>
      <c r="I180" s="429"/>
      <c r="J180" s="430">
        <f t="shared" si="51"/>
        <v>0</v>
      </c>
      <c r="K180" s="426"/>
      <c r="L180" s="431">
        <f t="shared" si="43"/>
        <v>0</v>
      </c>
      <c r="M180" s="420"/>
      <c r="N180" s="420"/>
      <c r="O180" s="420">
        <f t="shared" si="34"/>
        <v>0</v>
      </c>
      <c r="P180" s="420"/>
      <c r="R180" s="420"/>
      <c r="U180" s="386">
        <v>0</v>
      </c>
    </row>
    <row r="181" spans="1:21" ht="15.75" x14ac:dyDescent="0.2">
      <c r="A181" s="421" t="s">
        <v>580</v>
      </c>
      <c r="B181" s="422" t="s">
        <v>581</v>
      </c>
      <c r="C181" s="424">
        <v>0</v>
      </c>
      <c r="D181" s="424">
        <v>0</v>
      </c>
      <c r="E181" s="424">
        <v>0</v>
      </c>
      <c r="F181" s="491">
        <f t="shared" ref="F181" si="52">D181*E181</f>
        <v>0</v>
      </c>
      <c r="G181" s="440">
        <v>0</v>
      </c>
      <c r="H181" s="424"/>
      <c r="I181" s="431">
        <f t="shared" ref="I181:I191" si="53">IF(F181=0,0,H181/F181)</f>
        <v>0</v>
      </c>
      <c r="J181" s="430">
        <f t="shared" si="51"/>
        <v>0</v>
      </c>
      <c r="K181" s="424"/>
      <c r="L181" s="431">
        <f t="shared" si="43"/>
        <v>0</v>
      </c>
      <c r="M181" s="420"/>
      <c r="N181" s="420"/>
      <c r="O181" s="420">
        <f t="shared" si="34"/>
        <v>0</v>
      </c>
      <c r="P181" s="420"/>
      <c r="R181" s="420"/>
      <c r="U181" s="386">
        <v>0</v>
      </c>
    </row>
    <row r="182" spans="1:21" s="402" customFormat="1" ht="31.5" x14ac:dyDescent="0.2">
      <c r="A182" s="414" t="s">
        <v>582</v>
      </c>
      <c r="B182" s="432" t="s">
        <v>583</v>
      </c>
      <c r="C182" s="433" t="s">
        <v>35</v>
      </c>
      <c r="D182" s="433">
        <v>244.23</v>
      </c>
      <c r="E182" s="433">
        <v>29.52</v>
      </c>
      <c r="F182" s="490">
        <f t="shared" ref="F182:F190" si="54">ROUND((E182*D182),2)</f>
        <v>7209.67</v>
      </c>
      <c r="G182" s="483">
        <v>244.23</v>
      </c>
      <c r="H182" s="433">
        <v>7209.6695999999993</v>
      </c>
      <c r="I182" s="435">
        <f t="shared" si="53"/>
        <v>0.99999994451895846</v>
      </c>
      <c r="J182" s="433">
        <f t="shared" si="51"/>
        <v>0</v>
      </c>
      <c r="K182" s="433">
        <f t="shared" ref="K182:K190" si="55">ROUND((J182*E182),2)</f>
        <v>0</v>
      </c>
      <c r="L182" s="435">
        <f t="shared" si="43"/>
        <v>0</v>
      </c>
      <c r="M182" s="420"/>
      <c r="N182" s="420"/>
      <c r="O182" s="420">
        <f t="shared" si="34"/>
        <v>0</v>
      </c>
      <c r="P182" s="420"/>
      <c r="R182" s="420"/>
      <c r="U182" s="402">
        <v>0</v>
      </c>
    </row>
    <row r="183" spans="1:21" s="402" customFormat="1" ht="63" x14ac:dyDescent="0.2">
      <c r="A183" s="414" t="s">
        <v>584</v>
      </c>
      <c r="B183" s="432" t="s">
        <v>571</v>
      </c>
      <c r="C183" s="433" t="s">
        <v>35</v>
      </c>
      <c r="D183" s="433">
        <v>244.23</v>
      </c>
      <c r="E183" s="433">
        <v>148.16</v>
      </c>
      <c r="F183" s="490">
        <f t="shared" si="54"/>
        <v>36185.120000000003</v>
      </c>
      <c r="G183" s="483">
        <v>244.23000000000002</v>
      </c>
      <c r="H183" s="433">
        <v>36185.116800000003</v>
      </c>
      <c r="I183" s="435">
        <f t="shared" si="53"/>
        <v>0.9999999115658591</v>
      </c>
      <c r="J183" s="433">
        <f t="shared" si="51"/>
        <v>0</v>
      </c>
      <c r="K183" s="433">
        <f t="shared" si="55"/>
        <v>0</v>
      </c>
      <c r="L183" s="435">
        <f t="shared" si="43"/>
        <v>0</v>
      </c>
      <c r="M183" s="420"/>
      <c r="N183" s="420"/>
      <c r="O183" s="420">
        <f t="shared" si="34"/>
        <v>0</v>
      </c>
      <c r="P183" s="420"/>
      <c r="R183" s="420"/>
      <c r="U183" s="402">
        <v>0</v>
      </c>
    </row>
    <row r="184" spans="1:21" s="402" customFormat="1" ht="31.5" x14ac:dyDescent="0.2">
      <c r="A184" s="414" t="s">
        <v>585</v>
      </c>
      <c r="B184" s="432" t="s">
        <v>586</v>
      </c>
      <c r="C184" s="433" t="s">
        <v>35</v>
      </c>
      <c r="D184" s="433">
        <v>17.04</v>
      </c>
      <c r="E184" s="433">
        <v>202.96</v>
      </c>
      <c r="F184" s="490">
        <f t="shared" si="54"/>
        <v>3458.44</v>
      </c>
      <c r="G184" s="483">
        <v>0</v>
      </c>
      <c r="H184" s="433">
        <v>0</v>
      </c>
      <c r="I184" s="435">
        <f t="shared" si="53"/>
        <v>0</v>
      </c>
      <c r="J184" s="433">
        <f t="shared" si="51"/>
        <v>17.04</v>
      </c>
      <c r="K184" s="433">
        <f t="shared" si="55"/>
        <v>3458.44</v>
      </c>
      <c r="L184" s="435">
        <f t="shared" si="43"/>
        <v>1</v>
      </c>
      <c r="M184" s="420"/>
      <c r="N184" s="420"/>
      <c r="O184" s="420">
        <f t="shared" si="34"/>
        <v>3458.44</v>
      </c>
      <c r="P184" s="420"/>
      <c r="R184" s="420"/>
    </row>
    <row r="185" spans="1:21" s="402" customFormat="1" ht="15.75" x14ac:dyDescent="0.2">
      <c r="A185" s="414" t="s">
        <v>587</v>
      </c>
      <c r="B185" s="432" t="s">
        <v>588</v>
      </c>
      <c r="C185" s="433" t="s">
        <v>35</v>
      </c>
      <c r="D185" s="433">
        <v>40.68</v>
      </c>
      <c r="E185" s="433">
        <v>193.51</v>
      </c>
      <c r="F185" s="490">
        <f t="shared" si="54"/>
        <v>7871.99</v>
      </c>
      <c r="G185" s="483">
        <v>40.68</v>
      </c>
      <c r="H185" s="433">
        <v>7871.9867999999997</v>
      </c>
      <c r="I185" s="435">
        <f t="shared" si="53"/>
        <v>0.99999959349541856</v>
      </c>
      <c r="J185" s="433">
        <f t="shared" si="51"/>
        <v>0</v>
      </c>
      <c r="K185" s="433">
        <f t="shared" si="55"/>
        <v>0</v>
      </c>
      <c r="L185" s="435">
        <f t="shared" si="43"/>
        <v>0</v>
      </c>
      <c r="M185" s="420"/>
      <c r="N185" s="420"/>
      <c r="O185" s="420">
        <f t="shared" si="34"/>
        <v>0</v>
      </c>
      <c r="P185" s="420"/>
      <c r="R185" s="420"/>
    </row>
    <row r="186" spans="1:21" s="402" customFormat="1" ht="31.5" x14ac:dyDescent="0.2">
      <c r="A186" s="414" t="s">
        <v>589</v>
      </c>
      <c r="B186" s="432" t="s">
        <v>590</v>
      </c>
      <c r="C186" s="433" t="s">
        <v>35</v>
      </c>
      <c r="D186" s="433">
        <v>141.25</v>
      </c>
      <c r="E186" s="433">
        <v>48.2</v>
      </c>
      <c r="F186" s="490">
        <f t="shared" si="54"/>
        <v>6808.25</v>
      </c>
      <c r="G186" s="483">
        <v>141.25</v>
      </c>
      <c r="H186" s="433">
        <v>6808.25</v>
      </c>
      <c r="I186" s="435">
        <f t="shared" si="53"/>
        <v>1</v>
      </c>
      <c r="J186" s="433">
        <f t="shared" si="51"/>
        <v>0</v>
      </c>
      <c r="K186" s="433">
        <f t="shared" si="55"/>
        <v>0</v>
      </c>
      <c r="L186" s="435">
        <f t="shared" si="43"/>
        <v>0</v>
      </c>
      <c r="M186" s="420"/>
      <c r="N186" s="420"/>
      <c r="O186" s="420">
        <f t="shared" si="34"/>
        <v>0</v>
      </c>
      <c r="P186" s="420"/>
      <c r="R186" s="420"/>
    </row>
    <row r="187" spans="1:21" s="402" customFormat="1" ht="31.5" x14ac:dyDescent="0.2">
      <c r="A187" s="414" t="s">
        <v>591</v>
      </c>
      <c r="B187" s="432" t="s">
        <v>592</v>
      </c>
      <c r="C187" s="433" t="s">
        <v>26</v>
      </c>
      <c r="D187" s="433">
        <v>65.599999999999994</v>
      </c>
      <c r="E187" s="433">
        <v>100.76</v>
      </c>
      <c r="F187" s="490">
        <f t="shared" si="54"/>
        <v>6609.86</v>
      </c>
      <c r="G187" s="483">
        <v>65.599999999999994</v>
      </c>
      <c r="H187" s="433">
        <v>6609.8559999999998</v>
      </c>
      <c r="I187" s="435">
        <f t="shared" si="53"/>
        <v>0.99999939484346112</v>
      </c>
      <c r="J187" s="433">
        <f t="shared" si="51"/>
        <v>0</v>
      </c>
      <c r="K187" s="433">
        <f t="shared" si="55"/>
        <v>0</v>
      </c>
      <c r="L187" s="435">
        <f t="shared" si="43"/>
        <v>0</v>
      </c>
      <c r="M187" s="420"/>
      <c r="N187" s="420"/>
      <c r="O187" s="420">
        <f t="shared" si="34"/>
        <v>0</v>
      </c>
      <c r="P187" s="420"/>
      <c r="R187" s="420"/>
    </row>
    <row r="188" spans="1:21" s="402" customFormat="1" ht="15.75" x14ac:dyDescent="0.2">
      <c r="A188" s="414" t="s">
        <v>593</v>
      </c>
      <c r="B188" s="432" t="s">
        <v>594</v>
      </c>
      <c r="C188" s="433" t="s">
        <v>26</v>
      </c>
      <c r="D188" s="433">
        <v>5.9</v>
      </c>
      <c r="E188" s="433">
        <v>59.76</v>
      </c>
      <c r="F188" s="490">
        <f t="shared" si="54"/>
        <v>352.58</v>
      </c>
      <c r="G188" s="483">
        <v>5.9</v>
      </c>
      <c r="H188" s="433">
        <v>352.584</v>
      </c>
      <c r="I188" s="435">
        <f t="shared" si="53"/>
        <v>1.0000113449429917</v>
      </c>
      <c r="J188" s="433">
        <f t="shared" si="51"/>
        <v>0</v>
      </c>
      <c r="K188" s="433">
        <f t="shared" si="55"/>
        <v>0</v>
      </c>
      <c r="L188" s="435">
        <f t="shared" ref="L188:L219" si="56">IF(F188=0,0,K188/F188)</f>
        <v>0</v>
      </c>
      <c r="M188" s="420"/>
      <c r="N188" s="420"/>
      <c r="O188" s="420">
        <f t="shared" si="34"/>
        <v>0</v>
      </c>
      <c r="P188" s="420"/>
      <c r="R188" s="420"/>
    </row>
    <row r="189" spans="1:21" s="402" customFormat="1" ht="63" x14ac:dyDescent="0.2">
      <c r="A189" s="414" t="s">
        <v>595</v>
      </c>
      <c r="B189" s="432" t="s">
        <v>596</v>
      </c>
      <c r="C189" s="433" t="s">
        <v>26</v>
      </c>
      <c r="D189" s="433">
        <v>80.099999999999994</v>
      </c>
      <c r="E189" s="433">
        <v>168.21</v>
      </c>
      <c r="F189" s="490">
        <f t="shared" si="54"/>
        <v>13473.62</v>
      </c>
      <c r="G189" s="483">
        <v>80.099999999999994</v>
      </c>
      <c r="H189" s="433">
        <v>13473.620999999999</v>
      </c>
      <c r="I189" s="435">
        <f t="shared" si="53"/>
        <v>1.0000000742191035</v>
      </c>
      <c r="J189" s="433">
        <f t="shared" si="51"/>
        <v>0</v>
      </c>
      <c r="K189" s="433">
        <f t="shared" si="55"/>
        <v>0</v>
      </c>
      <c r="L189" s="435">
        <f t="shared" si="56"/>
        <v>0</v>
      </c>
      <c r="M189" s="420"/>
      <c r="N189" s="420"/>
      <c r="O189" s="420">
        <f t="shared" si="34"/>
        <v>0</v>
      </c>
      <c r="P189" s="420"/>
      <c r="R189" s="420"/>
    </row>
    <row r="190" spans="1:21" s="402" customFormat="1" ht="47.25" x14ac:dyDescent="0.2">
      <c r="A190" s="414" t="s">
        <v>597</v>
      </c>
      <c r="B190" s="432" t="s">
        <v>598</v>
      </c>
      <c r="C190" s="433" t="s">
        <v>26</v>
      </c>
      <c r="D190" s="433">
        <v>119</v>
      </c>
      <c r="E190" s="433">
        <v>218.26</v>
      </c>
      <c r="F190" s="490">
        <f t="shared" si="54"/>
        <v>25972.94</v>
      </c>
      <c r="G190" s="483">
        <v>50.96</v>
      </c>
      <c r="H190" s="433">
        <v>11122.5296</v>
      </c>
      <c r="I190" s="435">
        <f t="shared" si="53"/>
        <v>0.42823529411764705</v>
      </c>
      <c r="J190" s="433">
        <f t="shared" si="51"/>
        <v>68.039999999999992</v>
      </c>
      <c r="K190" s="433">
        <f t="shared" si="55"/>
        <v>14850.41</v>
      </c>
      <c r="L190" s="435">
        <f t="shared" si="56"/>
        <v>0.57176469048170908</v>
      </c>
      <c r="M190" s="420"/>
      <c r="N190" s="420"/>
      <c r="O190" s="420">
        <f t="shared" si="34"/>
        <v>14850.41</v>
      </c>
      <c r="P190" s="420"/>
      <c r="R190" s="420"/>
    </row>
    <row r="191" spans="1:21" ht="15.75" x14ac:dyDescent="0.2">
      <c r="A191" s="436"/>
      <c r="B191" s="422" t="s">
        <v>294</v>
      </c>
      <c r="C191" s="424"/>
      <c r="D191" s="424"/>
      <c r="E191" s="424"/>
      <c r="F191" s="427">
        <f>SUM(F182:F190)</f>
        <v>107942.47</v>
      </c>
      <c r="G191" s="428">
        <v>0</v>
      </c>
      <c r="H191" s="425">
        <v>89633.613800000006</v>
      </c>
      <c r="I191" s="429">
        <f t="shared" si="53"/>
        <v>0.83038320134790322</v>
      </c>
      <c r="J191" s="430">
        <f t="shared" si="51"/>
        <v>0</v>
      </c>
      <c r="K191" s="425">
        <f>SUM(K182:K190)</f>
        <v>18308.849999999999</v>
      </c>
      <c r="L191" s="429">
        <f t="shared" si="56"/>
        <v>0.16961674121409301</v>
      </c>
      <c r="M191" s="420"/>
      <c r="N191" s="420">
        <f>K191</f>
        <v>18308.849999999999</v>
      </c>
      <c r="O191" s="420">
        <f t="shared" si="34"/>
        <v>0</v>
      </c>
      <c r="P191" s="420"/>
      <c r="R191" s="420"/>
      <c r="U191" s="386">
        <v>0</v>
      </c>
    </row>
    <row r="192" spans="1:21" ht="15.75" x14ac:dyDescent="0.2">
      <c r="A192" s="436"/>
      <c r="B192" s="422"/>
      <c r="C192" s="424"/>
      <c r="D192" s="424"/>
      <c r="E192" s="424"/>
      <c r="F192" s="427"/>
      <c r="G192" s="428">
        <v>0</v>
      </c>
      <c r="H192" s="424"/>
      <c r="I192" s="429"/>
      <c r="J192" s="430">
        <f t="shared" si="51"/>
        <v>0</v>
      </c>
      <c r="K192" s="426"/>
      <c r="L192" s="431">
        <f t="shared" si="56"/>
        <v>0</v>
      </c>
      <c r="M192" s="420"/>
      <c r="N192" s="420"/>
      <c r="O192" s="420">
        <f t="shared" si="34"/>
        <v>0</v>
      </c>
      <c r="P192" s="420"/>
      <c r="R192" s="420"/>
      <c r="U192" s="386">
        <v>0</v>
      </c>
    </row>
    <row r="193" spans="1:21" ht="15.75" x14ac:dyDescent="0.2">
      <c r="A193" s="421" t="s">
        <v>599</v>
      </c>
      <c r="B193" s="422" t="s">
        <v>600</v>
      </c>
      <c r="C193" s="424">
        <v>0</v>
      </c>
      <c r="D193" s="424">
        <v>0</v>
      </c>
      <c r="E193" s="424">
        <v>0</v>
      </c>
      <c r="F193" s="491">
        <f t="shared" ref="F193" si="57">D193*E193</f>
        <v>0</v>
      </c>
      <c r="G193" s="428">
        <v>0</v>
      </c>
      <c r="H193" s="424"/>
      <c r="I193" s="431">
        <f t="shared" ref="I193:I224" si="58">IF(F193=0,0,H193/F193)</f>
        <v>0</v>
      </c>
      <c r="J193" s="430">
        <f t="shared" si="51"/>
        <v>0</v>
      </c>
      <c r="K193" s="424"/>
      <c r="L193" s="431">
        <f t="shared" si="56"/>
        <v>0</v>
      </c>
      <c r="M193" s="420"/>
      <c r="N193" s="420"/>
      <c r="O193" s="420">
        <f t="shared" si="34"/>
        <v>0</v>
      </c>
      <c r="P193" s="420"/>
      <c r="R193" s="420"/>
      <c r="U193" s="386">
        <v>0</v>
      </c>
    </row>
    <row r="194" spans="1:21" s="402" customFormat="1" ht="15.75" x14ac:dyDescent="0.2">
      <c r="A194" s="414" t="s">
        <v>601</v>
      </c>
      <c r="B194" s="432" t="s">
        <v>602</v>
      </c>
      <c r="C194" s="433" t="s">
        <v>603</v>
      </c>
      <c r="D194" s="433">
        <v>31</v>
      </c>
      <c r="E194" s="433">
        <v>115.81</v>
      </c>
      <c r="F194" s="490">
        <f t="shared" ref="F194:F223" si="59">ROUND((E194*D194),2)</f>
        <v>3590.11</v>
      </c>
      <c r="G194" s="483">
        <v>31</v>
      </c>
      <c r="H194" s="433">
        <v>3590.1099999999997</v>
      </c>
      <c r="I194" s="435">
        <f t="shared" si="58"/>
        <v>0.99999999999999989</v>
      </c>
      <c r="J194" s="433">
        <f t="shared" si="51"/>
        <v>0</v>
      </c>
      <c r="K194" s="433">
        <f t="shared" ref="K194:K223" si="60">ROUND((J194*E194),2)</f>
        <v>0</v>
      </c>
      <c r="L194" s="435">
        <f t="shared" si="56"/>
        <v>0</v>
      </c>
      <c r="M194" s="420"/>
      <c r="N194" s="420"/>
      <c r="O194" s="420">
        <f t="shared" si="34"/>
        <v>0</v>
      </c>
      <c r="P194" s="420"/>
      <c r="R194" s="420"/>
      <c r="U194" s="402">
        <v>0</v>
      </c>
    </row>
    <row r="195" spans="1:21" s="402" customFormat="1" ht="31.5" x14ac:dyDescent="0.2">
      <c r="A195" s="414" t="s">
        <v>604</v>
      </c>
      <c r="B195" s="432" t="s">
        <v>605</v>
      </c>
      <c r="C195" s="433" t="s">
        <v>603</v>
      </c>
      <c r="D195" s="433">
        <v>3</v>
      </c>
      <c r="E195" s="433">
        <v>278.76</v>
      </c>
      <c r="F195" s="490">
        <f t="shared" si="59"/>
        <v>836.28</v>
      </c>
      <c r="G195" s="483">
        <v>3</v>
      </c>
      <c r="H195" s="433">
        <v>836.28</v>
      </c>
      <c r="I195" s="435">
        <f t="shared" si="58"/>
        <v>1</v>
      </c>
      <c r="J195" s="433">
        <f t="shared" si="51"/>
        <v>0</v>
      </c>
      <c r="K195" s="433">
        <f t="shared" si="60"/>
        <v>0</v>
      </c>
      <c r="L195" s="435">
        <f t="shared" si="56"/>
        <v>0</v>
      </c>
      <c r="M195" s="420"/>
      <c r="N195" s="420"/>
      <c r="O195" s="420">
        <f t="shared" si="34"/>
        <v>0</v>
      </c>
      <c r="P195" s="420"/>
      <c r="R195" s="420"/>
      <c r="U195" s="402">
        <v>0</v>
      </c>
    </row>
    <row r="196" spans="1:21" s="402" customFormat="1" ht="15.75" x14ac:dyDescent="0.2">
      <c r="A196" s="414" t="s">
        <v>606</v>
      </c>
      <c r="B196" s="432" t="s">
        <v>607</v>
      </c>
      <c r="C196" s="433" t="s">
        <v>603</v>
      </c>
      <c r="D196" s="433">
        <v>3</v>
      </c>
      <c r="E196" s="433">
        <v>157.05000000000001</v>
      </c>
      <c r="F196" s="490">
        <f t="shared" si="59"/>
        <v>471.15</v>
      </c>
      <c r="G196" s="483">
        <v>3</v>
      </c>
      <c r="H196" s="433">
        <v>471.15000000000003</v>
      </c>
      <c r="I196" s="435">
        <f t="shared" si="58"/>
        <v>1.0000000000000002</v>
      </c>
      <c r="J196" s="433">
        <f t="shared" si="51"/>
        <v>0</v>
      </c>
      <c r="K196" s="433">
        <f t="shared" si="60"/>
        <v>0</v>
      </c>
      <c r="L196" s="435">
        <f t="shared" si="56"/>
        <v>0</v>
      </c>
      <c r="M196" s="420"/>
      <c r="N196" s="420"/>
      <c r="O196" s="420">
        <f t="shared" si="34"/>
        <v>0</v>
      </c>
      <c r="P196" s="420"/>
      <c r="R196" s="420"/>
      <c r="U196" s="402">
        <v>0</v>
      </c>
    </row>
    <row r="197" spans="1:21" s="402" customFormat="1" ht="31.5" x14ac:dyDescent="0.2">
      <c r="A197" s="414" t="s">
        <v>608</v>
      </c>
      <c r="B197" s="432" t="s">
        <v>609</v>
      </c>
      <c r="C197" s="433" t="s">
        <v>603</v>
      </c>
      <c r="D197" s="433">
        <v>5</v>
      </c>
      <c r="E197" s="433">
        <v>111.56</v>
      </c>
      <c r="F197" s="490">
        <f t="shared" si="59"/>
        <v>557.79999999999995</v>
      </c>
      <c r="G197" s="483">
        <v>5</v>
      </c>
      <c r="H197" s="433">
        <v>557.79999999999995</v>
      </c>
      <c r="I197" s="435">
        <f t="shared" si="58"/>
        <v>1</v>
      </c>
      <c r="J197" s="433">
        <f t="shared" si="51"/>
        <v>0</v>
      </c>
      <c r="K197" s="433">
        <f t="shared" si="60"/>
        <v>0</v>
      </c>
      <c r="L197" s="435">
        <f t="shared" si="56"/>
        <v>0</v>
      </c>
      <c r="M197" s="420"/>
      <c r="N197" s="420"/>
      <c r="O197" s="420">
        <f t="shared" si="34"/>
        <v>0</v>
      </c>
      <c r="P197" s="420"/>
      <c r="R197" s="420"/>
    </row>
    <row r="198" spans="1:21" s="402" customFormat="1" ht="31.5" x14ac:dyDescent="0.2">
      <c r="A198" s="414" t="s">
        <v>610</v>
      </c>
      <c r="B198" s="432" t="s">
        <v>611</v>
      </c>
      <c r="C198" s="433" t="s">
        <v>23</v>
      </c>
      <c r="D198" s="433">
        <v>5</v>
      </c>
      <c r="E198" s="433">
        <v>242.35</v>
      </c>
      <c r="F198" s="490">
        <f t="shared" si="59"/>
        <v>1211.75</v>
      </c>
      <c r="G198" s="483">
        <v>5</v>
      </c>
      <c r="H198" s="433">
        <v>1211.75</v>
      </c>
      <c r="I198" s="435">
        <f t="shared" si="58"/>
        <v>1</v>
      </c>
      <c r="J198" s="433">
        <f t="shared" si="51"/>
        <v>0</v>
      </c>
      <c r="K198" s="433">
        <f t="shared" si="60"/>
        <v>0</v>
      </c>
      <c r="L198" s="435">
        <f t="shared" si="56"/>
        <v>0</v>
      </c>
      <c r="M198" s="420"/>
      <c r="N198" s="420"/>
      <c r="O198" s="420">
        <f t="shared" si="34"/>
        <v>0</v>
      </c>
      <c r="P198" s="420"/>
      <c r="R198" s="420"/>
    </row>
    <row r="199" spans="1:21" s="402" customFormat="1" ht="31.5" x14ac:dyDescent="0.2">
      <c r="A199" s="414" t="s">
        <v>612</v>
      </c>
      <c r="B199" s="432" t="s">
        <v>613</v>
      </c>
      <c r="C199" s="433" t="s">
        <v>23</v>
      </c>
      <c r="D199" s="433">
        <v>2</v>
      </c>
      <c r="E199" s="433">
        <v>134.22</v>
      </c>
      <c r="F199" s="490">
        <f t="shared" si="59"/>
        <v>268.44</v>
      </c>
      <c r="G199" s="483">
        <v>2</v>
      </c>
      <c r="H199" s="433">
        <v>268.44</v>
      </c>
      <c r="I199" s="435">
        <f t="shared" si="58"/>
        <v>1</v>
      </c>
      <c r="J199" s="433">
        <f t="shared" si="51"/>
        <v>0</v>
      </c>
      <c r="K199" s="433">
        <f t="shared" si="60"/>
        <v>0</v>
      </c>
      <c r="L199" s="435">
        <f t="shared" si="56"/>
        <v>0</v>
      </c>
      <c r="M199" s="420"/>
      <c r="N199" s="420"/>
      <c r="O199" s="420">
        <f t="shared" si="34"/>
        <v>0</v>
      </c>
      <c r="P199" s="420"/>
      <c r="R199" s="420"/>
    </row>
    <row r="200" spans="1:21" s="402" customFormat="1" ht="15.75" x14ac:dyDescent="0.2">
      <c r="A200" s="414" t="s">
        <v>614</v>
      </c>
      <c r="B200" s="432" t="s">
        <v>615</v>
      </c>
      <c r="C200" s="433" t="s">
        <v>603</v>
      </c>
      <c r="D200" s="433">
        <v>7</v>
      </c>
      <c r="E200" s="433">
        <v>179.45</v>
      </c>
      <c r="F200" s="490">
        <f t="shared" si="59"/>
        <v>1256.1500000000001</v>
      </c>
      <c r="G200" s="483">
        <v>7</v>
      </c>
      <c r="H200" s="433">
        <v>1256.1499999999999</v>
      </c>
      <c r="I200" s="435">
        <f t="shared" si="58"/>
        <v>0.99999999999999978</v>
      </c>
      <c r="J200" s="433">
        <f t="shared" si="51"/>
        <v>0</v>
      </c>
      <c r="K200" s="433">
        <f t="shared" si="60"/>
        <v>0</v>
      </c>
      <c r="L200" s="435">
        <f t="shared" si="56"/>
        <v>0</v>
      </c>
      <c r="M200" s="420"/>
      <c r="N200" s="420"/>
      <c r="O200" s="420">
        <f t="shared" si="34"/>
        <v>0</v>
      </c>
      <c r="P200" s="420"/>
      <c r="R200" s="420"/>
      <c r="U200" s="402">
        <v>179.45</v>
      </c>
    </row>
    <row r="201" spans="1:21" s="402" customFormat="1" ht="63" x14ac:dyDescent="0.2">
      <c r="A201" s="414" t="s">
        <v>616</v>
      </c>
      <c r="B201" s="432" t="s">
        <v>617</v>
      </c>
      <c r="C201" s="433" t="s">
        <v>23</v>
      </c>
      <c r="D201" s="433">
        <v>2</v>
      </c>
      <c r="E201" s="433">
        <v>1415.76</v>
      </c>
      <c r="F201" s="490">
        <f t="shared" si="59"/>
        <v>2831.52</v>
      </c>
      <c r="G201" s="483">
        <v>2</v>
      </c>
      <c r="H201" s="433">
        <v>2831.52</v>
      </c>
      <c r="I201" s="435">
        <f t="shared" si="58"/>
        <v>1</v>
      </c>
      <c r="J201" s="433">
        <f t="shared" si="51"/>
        <v>0</v>
      </c>
      <c r="K201" s="433">
        <f t="shared" si="60"/>
        <v>0</v>
      </c>
      <c r="L201" s="435">
        <f t="shared" si="56"/>
        <v>0</v>
      </c>
      <c r="M201" s="420"/>
      <c r="N201" s="420"/>
      <c r="O201" s="420">
        <f t="shared" si="34"/>
        <v>0</v>
      </c>
      <c r="P201" s="420"/>
      <c r="R201" s="420"/>
    </row>
    <row r="202" spans="1:21" s="402" customFormat="1" ht="31.5" x14ac:dyDescent="0.2">
      <c r="A202" s="414" t="s">
        <v>618</v>
      </c>
      <c r="B202" s="432" t="s">
        <v>619</v>
      </c>
      <c r="C202" s="433" t="s">
        <v>26</v>
      </c>
      <c r="D202" s="433">
        <v>36</v>
      </c>
      <c r="E202" s="433">
        <v>28.51</v>
      </c>
      <c r="F202" s="490">
        <f t="shared" si="59"/>
        <v>1026.3599999999999</v>
      </c>
      <c r="G202" s="483">
        <v>36</v>
      </c>
      <c r="H202" s="433">
        <v>1026.3599999999999</v>
      </c>
      <c r="I202" s="435">
        <f t="shared" si="58"/>
        <v>1</v>
      </c>
      <c r="J202" s="433">
        <f t="shared" si="51"/>
        <v>0</v>
      </c>
      <c r="K202" s="433">
        <f t="shared" si="60"/>
        <v>0</v>
      </c>
      <c r="L202" s="435">
        <f t="shared" si="56"/>
        <v>0</v>
      </c>
      <c r="M202" s="420"/>
      <c r="N202" s="420"/>
      <c r="O202" s="420">
        <f t="shared" si="34"/>
        <v>0</v>
      </c>
      <c r="P202" s="420"/>
      <c r="R202" s="420"/>
      <c r="U202" s="402">
        <v>171.06</v>
      </c>
    </row>
    <row r="203" spans="1:21" s="402" customFormat="1" ht="31.5" x14ac:dyDescent="0.2">
      <c r="A203" s="414" t="s">
        <v>620</v>
      </c>
      <c r="B203" s="432" t="s">
        <v>621</v>
      </c>
      <c r="C203" s="433" t="s">
        <v>26</v>
      </c>
      <c r="D203" s="433">
        <v>4.5</v>
      </c>
      <c r="E203" s="433">
        <v>41.64</v>
      </c>
      <c r="F203" s="490">
        <f t="shared" si="59"/>
        <v>187.38</v>
      </c>
      <c r="G203" s="483">
        <v>4.5</v>
      </c>
      <c r="H203" s="433">
        <v>187.38</v>
      </c>
      <c r="I203" s="435">
        <f t="shared" si="58"/>
        <v>1</v>
      </c>
      <c r="J203" s="433">
        <f t="shared" si="51"/>
        <v>0</v>
      </c>
      <c r="K203" s="433">
        <f t="shared" si="60"/>
        <v>0</v>
      </c>
      <c r="L203" s="435">
        <f t="shared" si="56"/>
        <v>0</v>
      </c>
      <c r="M203" s="420"/>
      <c r="N203" s="420"/>
      <c r="O203" s="420">
        <f t="shared" ref="O203:O266" si="61">K203-N203</f>
        <v>0</v>
      </c>
      <c r="P203" s="420"/>
      <c r="R203" s="420"/>
    </row>
    <row r="204" spans="1:21" s="402" customFormat="1" ht="47.25" x14ac:dyDescent="0.2">
      <c r="A204" s="414" t="s">
        <v>622</v>
      </c>
      <c r="B204" s="432" t="s">
        <v>623</v>
      </c>
      <c r="C204" s="433" t="s">
        <v>26</v>
      </c>
      <c r="D204" s="433">
        <v>36</v>
      </c>
      <c r="E204" s="433">
        <v>12.73</v>
      </c>
      <c r="F204" s="490">
        <f t="shared" si="59"/>
        <v>458.28</v>
      </c>
      <c r="G204" s="483">
        <v>36</v>
      </c>
      <c r="H204" s="433">
        <v>458.28000000000003</v>
      </c>
      <c r="I204" s="435">
        <f t="shared" si="58"/>
        <v>1.0000000000000002</v>
      </c>
      <c r="J204" s="433">
        <f t="shared" si="51"/>
        <v>0</v>
      </c>
      <c r="K204" s="433">
        <f t="shared" si="60"/>
        <v>0</v>
      </c>
      <c r="L204" s="435">
        <f t="shared" si="56"/>
        <v>0</v>
      </c>
      <c r="M204" s="420"/>
      <c r="N204" s="420"/>
      <c r="O204" s="420">
        <f t="shared" si="61"/>
        <v>0</v>
      </c>
      <c r="P204" s="420"/>
      <c r="R204" s="420"/>
    </row>
    <row r="205" spans="1:21" s="402" customFormat="1" ht="47.25" x14ac:dyDescent="0.2">
      <c r="A205" s="414" t="s">
        <v>624</v>
      </c>
      <c r="B205" s="432" t="s">
        <v>625</v>
      </c>
      <c r="C205" s="433" t="s">
        <v>26</v>
      </c>
      <c r="D205" s="433">
        <v>4.5</v>
      </c>
      <c r="E205" s="433">
        <v>14.93</v>
      </c>
      <c r="F205" s="490">
        <f t="shared" si="59"/>
        <v>67.19</v>
      </c>
      <c r="G205" s="483">
        <v>4.5</v>
      </c>
      <c r="H205" s="433">
        <v>67.185000000000002</v>
      </c>
      <c r="I205" s="435">
        <f t="shared" si="58"/>
        <v>0.99992558416431021</v>
      </c>
      <c r="J205" s="433">
        <f t="shared" ref="J205:J236" si="62">D205-G205</f>
        <v>0</v>
      </c>
      <c r="K205" s="433">
        <f t="shared" si="60"/>
        <v>0</v>
      </c>
      <c r="L205" s="435">
        <f t="shared" si="56"/>
        <v>0</v>
      </c>
      <c r="M205" s="420"/>
      <c r="N205" s="420"/>
      <c r="O205" s="420">
        <f t="shared" si="61"/>
        <v>0</v>
      </c>
      <c r="P205" s="420"/>
      <c r="R205" s="420"/>
    </row>
    <row r="206" spans="1:21" s="402" customFormat="1" ht="31.5" x14ac:dyDescent="0.2">
      <c r="A206" s="414" t="s">
        <v>626</v>
      </c>
      <c r="B206" s="432" t="s">
        <v>627</v>
      </c>
      <c r="C206" s="433" t="s">
        <v>23</v>
      </c>
      <c r="D206" s="433">
        <v>9</v>
      </c>
      <c r="E206" s="433">
        <v>46.79</v>
      </c>
      <c r="F206" s="490">
        <f t="shared" si="59"/>
        <v>421.11</v>
      </c>
      <c r="G206" s="483">
        <v>9</v>
      </c>
      <c r="H206" s="433">
        <v>421.11</v>
      </c>
      <c r="I206" s="435">
        <f t="shared" si="58"/>
        <v>1</v>
      </c>
      <c r="J206" s="433">
        <f t="shared" si="62"/>
        <v>0</v>
      </c>
      <c r="K206" s="433">
        <f t="shared" si="60"/>
        <v>0</v>
      </c>
      <c r="L206" s="435">
        <f t="shared" si="56"/>
        <v>0</v>
      </c>
      <c r="M206" s="420"/>
      <c r="N206" s="420"/>
      <c r="O206" s="420">
        <f t="shared" si="61"/>
        <v>0</v>
      </c>
      <c r="P206" s="420"/>
      <c r="R206" s="420"/>
    </row>
    <row r="207" spans="1:21" s="402" customFormat="1" ht="31.5" x14ac:dyDescent="0.2">
      <c r="A207" s="414" t="s">
        <v>628</v>
      </c>
      <c r="B207" s="432" t="s">
        <v>619</v>
      </c>
      <c r="C207" s="433" t="s">
        <v>26</v>
      </c>
      <c r="D207" s="433">
        <v>12</v>
      </c>
      <c r="E207" s="433">
        <v>28.51</v>
      </c>
      <c r="F207" s="490">
        <f t="shared" si="59"/>
        <v>342.12</v>
      </c>
      <c r="G207" s="483">
        <v>12</v>
      </c>
      <c r="H207" s="433">
        <v>342.12</v>
      </c>
      <c r="I207" s="435">
        <f t="shared" si="58"/>
        <v>1</v>
      </c>
      <c r="J207" s="433">
        <f t="shared" si="62"/>
        <v>0</v>
      </c>
      <c r="K207" s="433">
        <f t="shared" si="60"/>
        <v>0</v>
      </c>
      <c r="L207" s="435">
        <f t="shared" si="56"/>
        <v>0</v>
      </c>
      <c r="M207" s="420"/>
      <c r="N207" s="420"/>
      <c r="O207" s="420">
        <f t="shared" si="61"/>
        <v>0</v>
      </c>
      <c r="P207" s="420"/>
      <c r="R207" s="420"/>
    </row>
    <row r="208" spans="1:21" s="402" customFormat="1" ht="31.5" x14ac:dyDescent="0.2">
      <c r="A208" s="414" t="s">
        <v>629</v>
      </c>
      <c r="B208" s="432" t="s">
        <v>630</v>
      </c>
      <c r="C208" s="433" t="s">
        <v>26</v>
      </c>
      <c r="D208" s="433">
        <v>12</v>
      </c>
      <c r="E208" s="433">
        <v>39.97</v>
      </c>
      <c r="F208" s="490">
        <f t="shared" si="59"/>
        <v>479.64</v>
      </c>
      <c r="G208" s="483">
        <v>12</v>
      </c>
      <c r="H208" s="433">
        <v>479.64</v>
      </c>
      <c r="I208" s="435">
        <f t="shared" si="58"/>
        <v>1</v>
      </c>
      <c r="J208" s="433">
        <f t="shared" si="62"/>
        <v>0</v>
      </c>
      <c r="K208" s="433">
        <f t="shared" si="60"/>
        <v>0</v>
      </c>
      <c r="L208" s="435">
        <f t="shared" si="56"/>
        <v>0</v>
      </c>
      <c r="M208" s="420"/>
      <c r="N208" s="420"/>
      <c r="O208" s="420">
        <f t="shared" si="61"/>
        <v>0</v>
      </c>
      <c r="P208" s="420"/>
      <c r="R208" s="420"/>
    </row>
    <row r="209" spans="1:21" s="402" customFormat="1" ht="31.5" x14ac:dyDescent="0.2">
      <c r="A209" s="414" t="s">
        <v>631</v>
      </c>
      <c r="B209" s="432" t="s">
        <v>632</v>
      </c>
      <c r="C209" s="433" t="s">
        <v>26</v>
      </c>
      <c r="D209" s="433">
        <v>12</v>
      </c>
      <c r="E209" s="433">
        <v>58.37</v>
      </c>
      <c r="F209" s="490">
        <f t="shared" si="59"/>
        <v>700.44</v>
      </c>
      <c r="G209" s="483">
        <v>12</v>
      </c>
      <c r="H209" s="433">
        <v>700.43999999999994</v>
      </c>
      <c r="I209" s="435">
        <f t="shared" si="58"/>
        <v>0.99999999999999989</v>
      </c>
      <c r="J209" s="433">
        <f t="shared" si="62"/>
        <v>0</v>
      </c>
      <c r="K209" s="433">
        <f t="shared" si="60"/>
        <v>0</v>
      </c>
      <c r="L209" s="435">
        <f t="shared" si="56"/>
        <v>0</v>
      </c>
      <c r="M209" s="420"/>
      <c r="N209" s="420"/>
      <c r="O209" s="420">
        <f t="shared" si="61"/>
        <v>0</v>
      </c>
      <c r="P209" s="420"/>
      <c r="R209" s="420"/>
    </row>
    <row r="210" spans="1:21" s="402" customFormat="1" ht="31.5" x14ac:dyDescent="0.2">
      <c r="A210" s="414" t="s">
        <v>633</v>
      </c>
      <c r="B210" s="432" t="s">
        <v>634</v>
      </c>
      <c r="C210" s="433" t="s">
        <v>26</v>
      </c>
      <c r="D210" s="433">
        <v>12</v>
      </c>
      <c r="E210" s="433">
        <v>130.32</v>
      </c>
      <c r="F210" s="490">
        <f t="shared" si="59"/>
        <v>1563.84</v>
      </c>
      <c r="G210" s="483">
        <v>12</v>
      </c>
      <c r="H210" s="433">
        <v>1563.84</v>
      </c>
      <c r="I210" s="435">
        <f t="shared" si="58"/>
        <v>1</v>
      </c>
      <c r="J210" s="433">
        <f t="shared" si="62"/>
        <v>0</v>
      </c>
      <c r="K210" s="433">
        <f t="shared" si="60"/>
        <v>0</v>
      </c>
      <c r="L210" s="435">
        <f t="shared" si="56"/>
        <v>0</v>
      </c>
      <c r="M210" s="420"/>
      <c r="N210" s="420"/>
      <c r="O210" s="420">
        <f t="shared" si="61"/>
        <v>0</v>
      </c>
      <c r="P210" s="420"/>
      <c r="R210" s="420"/>
    </row>
    <row r="211" spans="1:21" s="402" customFormat="1" ht="31.5" x14ac:dyDescent="0.2">
      <c r="A211" s="414" t="s">
        <v>635</v>
      </c>
      <c r="B211" s="432" t="s">
        <v>621</v>
      </c>
      <c r="C211" s="433" t="s">
        <v>26</v>
      </c>
      <c r="D211" s="433">
        <v>12</v>
      </c>
      <c r="E211" s="433">
        <v>41.64</v>
      </c>
      <c r="F211" s="490">
        <f t="shared" si="59"/>
        <v>499.68</v>
      </c>
      <c r="G211" s="483">
        <v>12</v>
      </c>
      <c r="H211" s="433">
        <v>499.68</v>
      </c>
      <c r="I211" s="435">
        <f t="shared" si="58"/>
        <v>1</v>
      </c>
      <c r="J211" s="433">
        <f t="shared" si="62"/>
        <v>0</v>
      </c>
      <c r="K211" s="433">
        <f t="shared" si="60"/>
        <v>0</v>
      </c>
      <c r="L211" s="435">
        <f t="shared" si="56"/>
        <v>0</v>
      </c>
      <c r="M211" s="420"/>
      <c r="N211" s="420"/>
      <c r="O211" s="420">
        <f t="shared" si="61"/>
        <v>0</v>
      </c>
      <c r="P211" s="420"/>
      <c r="R211" s="420"/>
    </row>
    <row r="212" spans="1:21" s="402" customFormat="1" ht="31.5" x14ac:dyDescent="0.2">
      <c r="A212" s="414" t="s">
        <v>636</v>
      </c>
      <c r="B212" s="432" t="s">
        <v>637</v>
      </c>
      <c r="C212" s="433" t="s">
        <v>26</v>
      </c>
      <c r="D212" s="433">
        <v>36</v>
      </c>
      <c r="E212" s="433">
        <v>53.91</v>
      </c>
      <c r="F212" s="490">
        <f t="shared" si="59"/>
        <v>1940.76</v>
      </c>
      <c r="G212" s="483">
        <v>36</v>
      </c>
      <c r="H212" s="433">
        <v>1940.7599999999998</v>
      </c>
      <c r="I212" s="435">
        <f t="shared" si="58"/>
        <v>0.99999999999999989</v>
      </c>
      <c r="J212" s="433">
        <f t="shared" si="62"/>
        <v>0</v>
      </c>
      <c r="K212" s="433">
        <f t="shared" si="60"/>
        <v>0</v>
      </c>
      <c r="L212" s="435">
        <f t="shared" si="56"/>
        <v>0</v>
      </c>
      <c r="M212" s="420"/>
      <c r="N212" s="420"/>
      <c r="O212" s="420">
        <f t="shared" si="61"/>
        <v>0</v>
      </c>
      <c r="P212" s="420"/>
      <c r="R212" s="420"/>
    </row>
    <row r="213" spans="1:21" s="402" customFormat="1" ht="31.5" x14ac:dyDescent="0.2">
      <c r="A213" s="414" t="s">
        <v>638</v>
      </c>
      <c r="B213" s="432" t="s">
        <v>639</v>
      </c>
      <c r="C213" s="433" t="s">
        <v>26</v>
      </c>
      <c r="D213" s="433">
        <v>24</v>
      </c>
      <c r="E213" s="433">
        <v>98.79</v>
      </c>
      <c r="F213" s="490">
        <f t="shared" si="59"/>
        <v>2370.96</v>
      </c>
      <c r="G213" s="483">
        <v>24</v>
      </c>
      <c r="H213" s="433">
        <v>2370.96</v>
      </c>
      <c r="I213" s="435">
        <f t="shared" si="58"/>
        <v>1</v>
      </c>
      <c r="J213" s="433">
        <f t="shared" si="62"/>
        <v>0</v>
      </c>
      <c r="K213" s="433">
        <f t="shared" si="60"/>
        <v>0</v>
      </c>
      <c r="L213" s="435">
        <f t="shared" si="56"/>
        <v>0</v>
      </c>
      <c r="M213" s="420"/>
      <c r="N213" s="420"/>
      <c r="O213" s="420">
        <f t="shared" si="61"/>
        <v>0</v>
      </c>
      <c r="P213" s="420"/>
      <c r="R213" s="420"/>
    </row>
    <row r="214" spans="1:21" s="402" customFormat="1" ht="31.5" x14ac:dyDescent="0.2">
      <c r="A214" s="414" t="s">
        <v>640</v>
      </c>
      <c r="B214" s="432" t="s">
        <v>641</v>
      </c>
      <c r="C214" s="433" t="s">
        <v>26</v>
      </c>
      <c r="D214" s="433">
        <v>24</v>
      </c>
      <c r="E214" s="433">
        <v>80.27</v>
      </c>
      <c r="F214" s="490">
        <f t="shared" si="59"/>
        <v>1926.48</v>
      </c>
      <c r="G214" s="483">
        <v>24</v>
      </c>
      <c r="H214" s="433">
        <v>1926.48</v>
      </c>
      <c r="I214" s="435">
        <f t="shared" si="58"/>
        <v>1</v>
      </c>
      <c r="J214" s="433">
        <f t="shared" si="62"/>
        <v>0</v>
      </c>
      <c r="K214" s="433">
        <f t="shared" si="60"/>
        <v>0</v>
      </c>
      <c r="L214" s="435">
        <f t="shared" si="56"/>
        <v>0</v>
      </c>
      <c r="M214" s="420"/>
      <c r="N214" s="420"/>
      <c r="O214" s="420">
        <f t="shared" si="61"/>
        <v>0</v>
      </c>
      <c r="P214" s="420"/>
      <c r="R214" s="420"/>
    </row>
    <row r="215" spans="1:21" s="402" customFormat="1" ht="15.75" x14ac:dyDescent="0.2">
      <c r="A215" s="414" t="s">
        <v>642</v>
      </c>
      <c r="B215" s="432" t="s">
        <v>643</v>
      </c>
      <c r="C215" s="433" t="s">
        <v>23</v>
      </c>
      <c r="D215" s="433">
        <v>2</v>
      </c>
      <c r="E215" s="433">
        <v>21.84</v>
      </c>
      <c r="F215" s="490">
        <f t="shared" si="59"/>
        <v>43.68</v>
      </c>
      <c r="G215" s="483">
        <v>2</v>
      </c>
      <c r="H215" s="433">
        <v>43.68</v>
      </c>
      <c r="I215" s="435">
        <f t="shared" si="58"/>
        <v>1</v>
      </c>
      <c r="J215" s="433">
        <f t="shared" si="62"/>
        <v>0</v>
      </c>
      <c r="K215" s="433">
        <f t="shared" si="60"/>
        <v>0</v>
      </c>
      <c r="L215" s="435">
        <f t="shared" si="56"/>
        <v>0</v>
      </c>
      <c r="M215" s="420"/>
      <c r="N215" s="420"/>
      <c r="O215" s="420">
        <f t="shared" si="61"/>
        <v>0</v>
      </c>
      <c r="P215" s="420"/>
      <c r="R215" s="420"/>
    </row>
    <row r="216" spans="1:21" s="402" customFormat="1" ht="15.75" x14ac:dyDescent="0.2">
      <c r="A216" s="414" t="s">
        <v>644</v>
      </c>
      <c r="B216" s="432" t="s">
        <v>645</v>
      </c>
      <c r="C216" s="433" t="s">
        <v>23</v>
      </c>
      <c r="D216" s="433">
        <v>2</v>
      </c>
      <c r="E216" s="433">
        <v>37.58</v>
      </c>
      <c r="F216" s="490">
        <f t="shared" si="59"/>
        <v>75.16</v>
      </c>
      <c r="G216" s="483">
        <v>2</v>
      </c>
      <c r="H216" s="433">
        <v>75.16</v>
      </c>
      <c r="I216" s="435">
        <f t="shared" si="58"/>
        <v>1</v>
      </c>
      <c r="J216" s="433">
        <f t="shared" si="62"/>
        <v>0</v>
      </c>
      <c r="K216" s="433">
        <f t="shared" si="60"/>
        <v>0</v>
      </c>
      <c r="L216" s="435">
        <f t="shared" si="56"/>
        <v>0</v>
      </c>
      <c r="M216" s="420"/>
      <c r="N216" s="420"/>
      <c r="O216" s="420">
        <f t="shared" si="61"/>
        <v>0</v>
      </c>
      <c r="P216" s="420"/>
      <c r="R216" s="420"/>
    </row>
    <row r="217" spans="1:21" s="402" customFormat="1" ht="31.5" x14ac:dyDescent="0.2">
      <c r="A217" s="414" t="s">
        <v>646</v>
      </c>
      <c r="B217" s="432" t="s">
        <v>647</v>
      </c>
      <c r="C217" s="433" t="s">
        <v>26</v>
      </c>
      <c r="D217" s="433">
        <v>12</v>
      </c>
      <c r="E217" s="433">
        <v>13.41</v>
      </c>
      <c r="F217" s="490">
        <f t="shared" si="59"/>
        <v>160.91999999999999</v>
      </c>
      <c r="G217" s="483">
        <v>12</v>
      </c>
      <c r="H217" s="433">
        <v>160.92000000000002</v>
      </c>
      <c r="I217" s="435">
        <f t="shared" si="58"/>
        <v>1.0000000000000002</v>
      </c>
      <c r="J217" s="433">
        <f t="shared" si="62"/>
        <v>0</v>
      </c>
      <c r="K217" s="433">
        <f t="shared" si="60"/>
        <v>0</v>
      </c>
      <c r="L217" s="435">
        <f t="shared" si="56"/>
        <v>0</v>
      </c>
      <c r="M217" s="420"/>
      <c r="N217" s="420"/>
      <c r="O217" s="420">
        <f t="shared" si="61"/>
        <v>0</v>
      </c>
      <c r="P217" s="420"/>
      <c r="R217" s="420"/>
    </row>
    <row r="218" spans="1:21" s="402" customFormat="1" ht="31.5" x14ac:dyDescent="0.2">
      <c r="A218" s="414" t="s">
        <v>648</v>
      </c>
      <c r="B218" s="432" t="s">
        <v>649</v>
      </c>
      <c r="C218" s="433" t="s">
        <v>26</v>
      </c>
      <c r="D218" s="433">
        <v>12</v>
      </c>
      <c r="E218" s="433">
        <v>20.12</v>
      </c>
      <c r="F218" s="490">
        <f t="shared" si="59"/>
        <v>241.44</v>
      </c>
      <c r="G218" s="483">
        <v>12</v>
      </c>
      <c r="H218" s="433">
        <v>241.44</v>
      </c>
      <c r="I218" s="435">
        <f t="shared" si="58"/>
        <v>1</v>
      </c>
      <c r="J218" s="433">
        <f t="shared" si="62"/>
        <v>0</v>
      </c>
      <c r="K218" s="433">
        <f t="shared" si="60"/>
        <v>0</v>
      </c>
      <c r="L218" s="435">
        <f t="shared" si="56"/>
        <v>0</v>
      </c>
      <c r="M218" s="420"/>
      <c r="N218" s="420"/>
      <c r="O218" s="420">
        <f t="shared" si="61"/>
        <v>0</v>
      </c>
      <c r="P218" s="420"/>
      <c r="R218" s="420"/>
    </row>
    <row r="219" spans="1:21" s="402" customFormat="1" ht="31.5" x14ac:dyDescent="0.2">
      <c r="A219" s="414" t="s">
        <v>650</v>
      </c>
      <c r="B219" s="432" t="s">
        <v>651</v>
      </c>
      <c r="C219" s="433" t="s">
        <v>26</v>
      </c>
      <c r="D219" s="433">
        <v>12</v>
      </c>
      <c r="E219" s="433">
        <v>38.950000000000003</v>
      </c>
      <c r="F219" s="490">
        <f t="shared" si="59"/>
        <v>467.4</v>
      </c>
      <c r="G219" s="483">
        <v>12</v>
      </c>
      <c r="H219" s="433">
        <v>467.40000000000003</v>
      </c>
      <c r="I219" s="435">
        <f t="shared" si="58"/>
        <v>1.0000000000000002</v>
      </c>
      <c r="J219" s="433">
        <f t="shared" si="62"/>
        <v>0</v>
      </c>
      <c r="K219" s="433">
        <f t="shared" si="60"/>
        <v>0</v>
      </c>
      <c r="L219" s="435">
        <f t="shared" si="56"/>
        <v>0</v>
      </c>
      <c r="M219" s="420"/>
      <c r="N219" s="420"/>
      <c r="O219" s="420">
        <f t="shared" si="61"/>
        <v>0</v>
      </c>
      <c r="P219" s="420"/>
      <c r="R219" s="420"/>
    </row>
    <row r="220" spans="1:21" s="402" customFormat="1" ht="31.5" x14ac:dyDescent="0.2">
      <c r="A220" s="414" t="s">
        <v>652</v>
      </c>
      <c r="B220" s="432" t="s">
        <v>653</v>
      </c>
      <c r="C220" s="433" t="s">
        <v>654</v>
      </c>
      <c r="D220" s="433">
        <v>150</v>
      </c>
      <c r="E220" s="433">
        <v>4.01</v>
      </c>
      <c r="F220" s="490">
        <f t="shared" si="59"/>
        <v>601.5</v>
      </c>
      <c r="G220" s="483">
        <v>150</v>
      </c>
      <c r="H220" s="433">
        <v>601.5</v>
      </c>
      <c r="I220" s="435">
        <f t="shared" si="58"/>
        <v>1</v>
      </c>
      <c r="J220" s="433">
        <f t="shared" si="62"/>
        <v>0</v>
      </c>
      <c r="K220" s="433">
        <f t="shared" si="60"/>
        <v>0</v>
      </c>
      <c r="L220" s="435">
        <f t="shared" ref="L220:L251" si="63">IF(F220=0,0,K220/F220)</f>
        <v>0</v>
      </c>
      <c r="M220" s="420"/>
      <c r="N220" s="420"/>
      <c r="O220" s="420">
        <f t="shared" si="61"/>
        <v>0</v>
      </c>
      <c r="P220" s="420"/>
      <c r="R220" s="420"/>
    </row>
    <row r="221" spans="1:21" s="402" customFormat="1" ht="31.5" x14ac:dyDescent="0.2">
      <c r="A221" s="414" t="s">
        <v>655</v>
      </c>
      <c r="B221" s="432" t="s">
        <v>656</v>
      </c>
      <c r="C221" s="433" t="s">
        <v>23</v>
      </c>
      <c r="D221" s="433">
        <v>2</v>
      </c>
      <c r="E221" s="433">
        <v>50.24</v>
      </c>
      <c r="F221" s="490">
        <f t="shared" si="59"/>
        <v>100.48</v>
      </c>
      <c r="G221" s="483">
        <v>2</v>
      </c>
      <c r="H221" s="433">
        <v>100.48</v>
      </c>
      <c r="I221" s="435">
        <f t="shared" si="58"/>
        <v>1</v>
      </c>
      <c r="J221" s="433">
        <f t="shared" si="62"/>
        <v>0</v>
      </c>
      <c r="K221" s="433">
        <f t="shared" si="60"/>
        <v>0</v>
      </c>
      <c r="L221" s="435">
        <f t="shared" si="63"/>
        <v>0</v>
      </c>
      <c r="M221" s="420"/>
      <c r="N221" s="420"/>
      <c r="O221" s="420">
        <f t="shared" si="61"/>
        <v>0</v>
      </c>
      <c r="P221" s="420"/>
      <c r="R221" s="420"/>
    </row>
    <row r="222" spans="1:21" s="402" customFormat="1" ht="31.5" x14ac:dyDescent="0.2">
      <c r="A222" s="414" t="s">
        <v>657</v>
      </c>
      <c r="B222" s="432" t="s">
        <v>658</v>
      </c>
      <c r="C222" s="433" t="s">
        <v>23</v>
      </c>
      <c r="D222" s="433">
        <v>4</v>
      </c>
      <c r="E222" s="433">
        <v>1149.53</v>
      </c>
      <c r="F222" s="490">
        <f t="shared" si="59"/>
        <v>4598.12</v>
      </c>
      <c r="G222" s="483">
        <v>4</v>
      </c>
      <c r="H222" s="433">
        <v>4598.12</v>
      </c>
      <c r="I222" s="435">
        <f t="shared" si="58"/>
        <v>1</v>
      </c>
      <c r="J222" s="433">
        <f t="shared" si="62"/>
        <v>0</v>
      </c>
      <c r="K222" s="433">
        <f t="shared" si="60"/>
        <v>0</v>
      </c>
      <c r="L222" s="435">
        <f t="shared" si="63"/>
        <v>0</v>
      </c>
      <c r="M222" s="420"/>
      <c r="N222" s="420"/>
      <c r="O222" s="420">
        <f t="shared" si="61"/>
        <v>0</v>
      </c>
      <c r="P222" s="420"/>
      <c r="R222" s="420"/>
      <c r="U222" s="402">
        <v>2299.06</v>
      </c>
    </row>
    <row r="223" spans="1:21" s="402" customFormat="1" ht="47.25" x14ac:dyDescent="0.2">
      <c r="A223" s="414" t="s">
        <v>659</v>
      </c>
      <c r="B223" s="432" t="s">
        <v>660</v>
      </c>
      <c r="C223" s="433" t="s">
        <v>23</v>
      </c>
      <c r="D223" s="433">
        <v>90</v>
      </c>
      <c r="E223" s="433">
        <v>234.8</v>
      </c>
      <c r="F223" s="490">
        <f t="shared" si="59"/>
        <v>21132</v>
      </c>
      <c r="G223" s="483">
        <v>72</v>
      </c>
      <c r="H223" s="433">
        <v>16905.599999999999</v>
      </c>
      <c r="I223" s="435">
        <f t="shared" si="58"/>
        <v>0.79999999999999993</v>
      </c>
      <c r="J223" s="433">
        <f t="shared" si="62"/>
        <v>18</v>
      </c>
      <c r="K223" s="433">
        <f t="shared" si="60"/>
        <v>4226.3999999999996</v>
      </c>
      <c r="L223" s="435">
        <f t="shared" si="63"/>
        <v>0.19999999999999998</v>
      </c>
      <c r="M223" s="420"/>
      <c r="N223" s="420"/>
      <c r="O223" s="420">
        <f t="shared" si="61"/>
        <v>4226.3999999999996</v>
      </c>
      <c r="P223" s="420"/>
      <c r="R223" s="420"/>
      <c r="U223" s="402">
        <v>939.2</v>
      </c>
    </row>
    <row r="224" spans="1:21" ht="15.75" x14ac:dyDescent="0.2">
      <c r="A224" s="436"/>
      <c r="B224" s="422" t="s">
        <v>295</v>
      </c>
      <c r="C224" s="424"/>
      <c r="D224" s="424"/>
      <c r="E224" s="424"/>
      <c r="F224" s="427">
        <f>SUM(F194:F223)</f>
        <v>50428.14</v>
      </c>
      <c r="G224" s="428">
        <v>0</v>
      </c>
      <c r="H224" s="425">
        <v>46201.734999999993</v>
      </c>
      <c r="I224" s="429">
        <f t="shared" si="58"/>
        <v>0.91618955210325015</v>
      </c>
      <c r="J224" s="430">
        <f t="shared" si="62"/>
        <v>0</v>
      </c>
      <c r="K224" s="425">
        <f>SUM(K194:K223)</f>
        <v>4226.3999999999996</v>
      </c>
      <c r="L224" s="429">
        <f t="shared" si="63"/>
        <v>8.3810348745759808E-2</v>
      </c>
      <c r="M224" s="420"/>
      <c r="N224" s="420">
        <f>K224</f>
        <v>4226.3999999999996</v>
      </c>
      <c r="O224" s="420">
        <f t="shared" si="61"/>
        <v>0</v>
      </c>
      <c r="P224" s="420"/>
      <c r="R224" s="420"/>
      <c r="U224" s="386">
        <v>3588.7699999999995</v>
      </c>
    </row>
    <row r="225" spans="1:21" ht="15.75" x14ac:dyDescent="0.2">
      <c r="A225" s="436"/>
      <c r="B225" s="422"/>
      <c r="C225" s="424"/>
      <c r="D225" s="424"/>
      <c r="E225" s="424"/>
      <c r="F225" s="427"/>
      <c r="G225" s="428">
        <v>0</v>
      </c>
      <c r="H225" s="424"/>
      <c r="I225" s="429"/>
      <c r="J225" s="430">
        <f t="shared" si="62"/>
        <v>0</v>
      </c>
      <c r="K225" s="426"/>
      <c r="L225" s="431">
        <f t="shared" si="63"/>
        <v>0</v>
      </c>
      <c r="M225" s="420"/>
      <c r="N225" s="420"/>
      <c r="O225" s="420">
        <f t="shared" si="61"/>
        <v>0</v>
      </c>
      <c r="P225" s="420"/>
      <c r="R225" s="420"/>
      <c r="U225" s="386">
        <v>0</v>
      </c>
    </row>
    <row r="226" spans="1:21" ht="15.75" x14ac:dyDescent="0.2">
      <c r="A226" s="421" t="s">
        <v>661</v>
      </c>
      <c r="B226" s="422" t="s">
        <v>662</v>
      </c>
      <c r="C226" s="424">
        <v>0</v>
      </c>
      <c r="D226" s="424">
        <v>0</v>
      </c>
      <c r="E226" s="424">
        <v>0</v>
      </c>
      <c r="F226" s="491">
        <f t="shared" ref="F226" si="64">D226*E226</f>
        <v>0</v>
      </c>
      <c r="G226" s="428">
        <v>0</v>
      </c>
      <c r="H226" s="424"/>
      <c r="I226" s="431">
        <f t="shared" ref="I226:I245" si="65">IF(F226=0,0,H226/F226)</f>
        <v>0</v>
      </c>
      <c r="J226" s="430">
        <f t="shared" si="62"/>
        <v>0</v>
      </c>
      <c r="K226" s="424"/>
      <c r="L226" s="431">
        <f t="shared" si="63"/>
        <v>0</v>
      </c>
      <c r="M226" s="420"/>
      <c r="N226" s="420"/>
      <c r="O226" s="420">
        <f t="shared" si="61"/>
        <v>0</v>
      </c>
      <c r="P226" s="420"/>
      <c r="R226" s="420"/>
      <c r="U226" s="386">
        <v>0</v>
      </c>
    </row>
    <row r="227" spans="1:21" ht="31.5" x14ac:dyDescent="0.2">
      <c r="A227" s="414" t="s">
        <v>663</v>
      </c>
      <c r="B227" s="432" t="s">
        <v>664</v>
      </c>
      <c r="C227" s="433" t="s">
        <v>23</v>
      </c>
      <c r="D227" s="433">
        <v>2</v>
      </c>
      <c r="E227" s="433">
        <v>212.14</v>
      </c>
      <c r="F227" s="490">
        <f t="shared" ref="F227:F244" si="66">ROUND((E227*D227),2)</f>
        <v>424.28</v>
      </c>
      <c r="G227" s="483">
        <v>2</v>
      </c>
      <c r="H227" s="433">
        <v>424.28</v>
      </c>
      <c r="I227" s="435">
        <f t="shared" si="65"/>
        <v>1</v>
      </c>
      <c r="J227" s="433">
        <f t="shared" si="62"/>
        <v>0</v>
      </c>
      <c r="K227" s="433">
        <f t="shared" ref="K227:K244" si="67">ROUND((J227*E227),2)</f>
        <v>0</v>
      </c>
      <c r="L227" s="435">
        <f t="shared" si="63"/>
        <v>0</v>
      </c>
      <c r="M227" s="420"/>
      <c r="N227" s="420"/>
      <c r="O227" s="420">
        <f t="shared" si="61"/>
        <v>0</v>
      </c>
      <c r="P227" s="420"/>
      <c r="R227" s="420"/>
      <c r="U227" s="386">
        <v>0</v>
      </c>
    </row>
    <row r="228" spans="1:21" s="402" customFormat="1" ht="15.75" x14ac:dyDescent="0.2">
      <c r="A228" s="414" t="s">
        <v>665</v>
      </c>
      <c r="B228" s="432" t="s">
        <v>666</v>
      </c>
      <c r="C228" s="433" t="s">
        <v>23</v>
      </c>
      <c r="D228" s="433">
        <v>2</v>
      </c>
      <c r="E228" s="433">
        <v>10.11</v>
      </c>
      <c r="F228" s="490">
        <f t="shared" si="66"/>
        <v>20.22</v>
      </c>
      <c r="G228" s="483">
        <v>2</v>
      </c>
      <c r="H228" s="433">
        <v>20.22</v>
      </c>
      <c r="I228" s="435">
        <f t="shared" si="65"/>
        <v>1</v>
      </c>
      <c r="J228" s="433">
        <f t="shared" si="62"/>
        <v>0</v>
      </c>
      <c r="K228" s="433">
        <f t="shared" si="67"/>
        <v>0</v>
      </c>
      <c r="L228" s="435">
        <f t="shared" si="63"/>
        <v>0</v>
      </c>
      <c r="M228" s="420"/>
      <c r="N228" s="420"/>
      <c r="O228" s="420">
        <f t="shared" si="61"/>
        <v>0</v>
      </c>
      <c r="P228" s="420"/>
      <c r="R228" s="420"/>
      <c r="U228" s="402">
        <v>0</v>
      </c>
    </row>
    <row r="229" spans="1:21" s="402" customFormat="1" ht="31.5" x14ac:dyDescent="0.2">
      <c r="A229" s="414" t="s">
        <v>667</v>
      </c>
      <c r="B229" s="432" t="s">
        <v>668</v>
      </c>
      <c r="C229" s="433" t="s">
        <v>26</v>
      </c>
      <c r="D229" s="433">
        <v>42</v>
      </c>
      <c r="E229" s="433">
        <v>82.79</v>
      </c>
      <c r="F229" s="490">
        <f t="shared" si="66"/>
        <v>3477.18</v>
      </c>
      <c r="G229" s="483">
        <v>42</v>
      </c>
      <c r="H229" s="433">
        <v>3477.1800000000003</v>
      </c>
      <c r="I229" s="435">
        <f t="shared" si="65"/>
        <v>1.0000000000000002</v>
      </c>
      <c r="J229" s="433">
        <f t="shared" si="62"/>
        <v>0</v>
      </c>
      <c r="K229" s="433">
        <f t="shared" si="67"/>
        <v>0</v>
      </c>
      <c r="L229" s="435">
        <f t="shared" si="63"/>
        <v>0</v>
      </c>
      <c r="M229" s="420"/>
      <c r="N229" s="420"/>
      <c r="O229" s="420">
        <f t="shared" si="61"/>
        <v>0</v>
      </c>
      <c r="P229" s="420"/>
      <c r="R229" s="420"/>
      <c r="U229" s="402">
        <v>0</v>
      </c>
    </row>
    <row r="230" spans="1:21" ht="31.5" x14ac:dyDescent="0.2">
      <c r="A230" s="414" t="s">
        <v>669</v>
      </c>
      <c r="B230" s="432" t="s">
        <v>670</v>
      </c>
      <c r="C230" s="433" t="s">
        <v>26</v>
      </c>
      <c r="D230" s="433">
        <v>32</v>
      </c>
      <c r="E230" s="433">
        <v>42.5</v>
      </c>
      <c r="F230" s="490">
        <f t="shared" si="66"/>
        <v>1360</v>
      </c>
      <c r="G230" s="483">
        <v>32</v>
      </c>
      <c r="H230" s="433">
        <v>1360</v>
      </c>
      <c r="I230" s="435">
        <f t="shared" si="65"/>
        <v>1</v>
      </c>
      <c r="J230" s="433">
        <f t="shared" si="62"/>
        <v>0</v>
      </c>
      <c r="K230" s="433">
        <f t="shared" si="67"/>
        <v>0</v>
      </c>
      <c r="L230" s="435">
        <f t="shared" si="63"/>
        <v>0</v>
      </c>
      <c r="M230" s="420"/>
      <c r="N230" s="420"/>
      <c r="O230" s="420">
        <f t="shared" si="61"/>
        <v>0</v>
      </c>
      <c r="P230" s="420"/>
      <c r="R230" s="420"/>
      <c r="U230" s="386">
        <v>0</v>
      </c>
    </row>
    <row r="231" spans="1:21" ht="31.5" x14ac:dyDescent="0.2">
      <c r="A231" s="414" t="s">
        <v>671</v>
      </c>
      <c r="B231" s="432" t="s">
        <v>672</v>
      </c>
      <c r="C231" s="433" t="s">
        <v>26</v>
      </c>
      <c r="D231" s="433">
        <v>12</v>
      </c>
      <c r="E231" s="433">
        <v>19.25</v>
      </c>
      <c r="F231" s="490">
        <f t="shared" si="66"/>
        <v>231</v>
      </c>
      <c r="G231" s="483">
        <v>12</v>
      </c>
      <c r="H231" s="433">
        <v>231</v>
      </c>
      <c r="I231" s="435">
        <f t="shared" si="65"/>
        <v>1</v>
      </c>
      <c r="J231" s="433">
        <f t="shared" si="62"/>
        <v>0</v>
      </c>
      <c r="K231" s="433">
        <f t="shared" si="67"/>
        <v>0</v>
      </c>
      <c r="L231" s="435">
        <f t="shared" si="63"/>
        <v>0</v>
      </c>
      <c r="M231" s="420"/>
      <c r="N231" s="420"/>
      <c r="O231" s="420">
        <f t="shared" si="61"/>
        <v>0</v>
      </c>
      <c r="P231" s="420"/>
      <c r="R231" s="420"/>
    </row>
    <row r="232" spans="1:21" ht="31.5" x14ac:dyDescent="0.2">
      <c r="A232" s="414" t="s">
        <v>673</v>
      </c>
      <c r="B232" s="432" t="s">
        <v>674</v>
      </c>
      <c r="C232" s="433" t="s">
        <v>26</v>
      </c>
      <c r="D232" s="433">
        <v>12</v>
      </c>
      <c r="E232" s="433">
        <v>28.66</v>
      </c>
      <c r="F232" s="490">
        <f t="shared" si="66"/>
        <v>343.92</v>
      </c>
      <c r="G232" s="483">
        <v>12</v>
      </c>
      <c r="H232" s="433">
        <v>343.92</v>
      </c>
      <c r="I232" s="435">
        <f t="shared" si="65"/>
        <v>1</v>
      </c>
      <c r="J232" s="433">
        <f t="shared" si="62"/>
        <v>0</v>
      </c>
      <c r="K232" s="433">
        <f t="shared" si="67"/>
        <v>0</v>
      </c>
      <c r="L232" s="435">
        <f t="shared" si="63"/>
        <v>0</v>
      </c>
      <c r="M232" s="420"/>
      <c r="N232" s="420"/>
      <c r="O232" s="420">
        <f t="shared" si="61"/>
        <v>0</v>
      </c>
      <c r="P232" s="420"/>
      <c r="R232" s="420"/>
    </row>
    <row r="233" spans="1:21" ht="31.5" x14ac:dyDescent="0.2">
      <c r="A233" s="414" t="s">
        <v>675</v>
      </c>
      <c r="B233" s="432" t="s">
        <v>676</v>
      </c>
      <c r="C233" s="433" t="s">
        <v>677</v>
      </c>
      <c r="D233" s="433">
        <v>12</v>
      </c>
      <c r="E233" s="433">
        <v>43.67</v>
      </c>
      <c r="F233" s="490">
        <f t="shared" si="66"/>
        <v>524.04</v>
      </c>
      <c r="G233" s="483">
        <v>12</v>
      </c>
      <c r="H233" s="433">
        <v>524.04</v>
      </c>
      <c r="I233" s="435">
        <f t="shared" si="65"/>
        <v>1</v>
      </c>
      <c r="J233" s="433">
        <f t="shared" si="62"/>
        <v>0</v>
      </c>
      <c r="K233" s="433">
        <f t="shared" si="67"/>
        <v>0</v>
      </c>
      <c r="L233" s="435">
        <f t="shared" si="63"/>
        <v>0</v>
      </c>
      <c r="M233" s="420"/>
      <c r="N233" s="420"/>
      <c r="O233" s="420">
        <f t="shared" si="61"/>
        <v>0</v>
      </c>
      <c r="P233" s="420"/>
      <c r="R233" s="420"/>
    </row>
    <row r="234" spans="1:21" ht="31.5" x14ac:dyDescent="0.2">
      <c r="A234" s="414" t="s">
        <v>678</v>
      </c>
      <c r="B234" s="432" t="s">
        <v>679</v>
      </c>
      <c r="C234" s="433" t="s">
        <v>26</v>
      </c>
      <c r="D234" s="433">
        <v>12</v>
      </c>
      <c r="E234" s="433">
        <v>52.04</v>
      </c>
      <c r="F234" s="490">
        <f t="shared" si="66"/>
        <v>624.48</v>
      </c>
      <c r="G234" s="483">
        <v>12</v>
      </c>
      <c r="H234" s="433">
        <v>624.48</v>
      </c>
      <c r="I234" s="435">
        <f t="shared" si="65"/>
        <v>1</v>
      </c>
      <c r="J234" s="433">
        <f t="shared" si="62"/>
        <v>0</v>
      </c>
      <c r="K234" s="433">
        <f t="shared" si="67"/>
        <v>0</v>
      </c>
      <c r="L234" s="435">
        <f t="shared" si="63"/>
        <v>0</v>
      </c>
      <c r="M234" s="420"/>
      <c r="N234" s="420"/>
      <c r="O234" s="420">
        <f t="shared" si="61"/>
        <v>0</v>
      </c>
      <c r="P234" s="420"/>
      <c r="R234" s="420"/>
    </row>
    <row r="235" spans="1:21" ht="31.5" x14ac:dyDescent="0.2">
      <c r="A235" s="414" t="s">
        <v>680</v>
      </c>
      <c r="B235" s="432" t="s">
        <v>681</v>
      </c>
      <c r="C235" s="433" t="s">
        <v>26</v>
      </c>
      <c r="D235" s="433">
        <v>36</v>
      </c>
      <c r="E235" s="433">
        <v>8.3699999999999992</v>
      </c>
      <c r="F235" s="490">
        <f t="shared" si="66"/>
        <v>301.32</v>
      </c>
      <c r="G235" s="483">
        <v>36</v>
      </c>
      <c r="H235" s="433">
        <v>301.32</v>
      </c>
      <c r="I235" s="435">
        <f t="shared" si="65"/>
        <v>1</v>
      </c>
      <c r="J235" s="433">
        <f t="shared" si="62"/>
        <v>0</v>
      </c>
      <c r="K235" s="433">
        <f t="shared" si="67"/>
        <v>0</v>
      </c>
      <c r="L235" s="435">
        <f t="shared" si="63"/>
        <v>0</v>
      </c>
      <c r="M235" s="420"/>
      <c r="N235" s="420"/>
      <c r="O235" s="420">
        <f t="shared" si="61"/>
        <v>0</v>
      </c>
      <c r="P235" s="420"/>
      <c r="R235" s="420"/>
    </row>
    <row r="236" spans="1:21" ht="31.5" x14ac:dyDescent="0.2">
      <c r="A236" s="414" t="s">
        <v>682</v>
      </c>
      <c r="B236" s="432" t="s">
        <v>683</v>
      </c>
      <c r="C236" s="433" t="s">
        <v>26</v>
      </c>
      <c r="D236" s="433">
        <v>36</v>
      </c>
      <c r="E236" s="433">
        <v>10.87</v>
      </c>
      <c r="F236" s="490">
        <f t="shared" si="66"/>
        <v>391.32</v>
      </c>
      <c r="G236" s="483">
        <v>36</v>
      </c>
      <c r="H236" s="433">
        <v>391.32</v>
      </c>
      <c r="I236" s="435">
        <f t="shared" si="65"/>
        <v>1</v>
      </c>
      <c r="J236" s="433">
        <f t="shared" si="62"/>
        <v>0</v>
      </c>
      <c r="K236" s="433">
        <f t="shared" si="67"/>
        <v>0</v>
      </c>
      <c r="L236" s="435">
        <f t="shared" si="63"/>
        <v>0</v>
      </c>
      <c r="M236" s="420"/>
      <c r="N236" s="420"/>
      <c r="O236" s="420">
        <f t="shared" si="61"/>
        <v>0</v>
      </c>
      <c r="P236" s="420"/>
      <c r="R236" s="420"/>
    </row>
    <row r="237" spans="1:21" ht="31.5" x14ac:dyDescent="0.2">
      <c r="A237" s="414" t="s">
        <v>684</v>
      </c>
      <c r="B237" s="432" t="s">
        <v>685</v>
      </c>
      <c r="C237" s="433" t="s">
        <v>26</v>
      </c>
      <c r="D237" s="433">
        <v>6</v>
      </c>
      <c r="E237" s="433">
        <v>13.43</v>
      </c>
      <c r="F237" s="490">
        <f t="shared" si="66"/>
        <v>80.58</v>
      </c>
      <c r="G237" s="483">
        <v>6</v>
      </c>
      <c r="H237" s="433">
        <v>80.58</v>
      </c>
      <c r="I237" s="435">
        <f t="shared" si="65"/>
        <v>1</v>
      </c>
      <c r="J237" s="433">
        <f t="shared" ref="J237:J268" si="68">D237-G237</f>
        <v>0</v>
      </c>
      <c r="K237" s="433">
        <f t="shared" si="67"/>
        <v>0</v>
      </c>
      <c r="L237" s="435">
        <f t="shared" si="63"/>
        <v>0</v>
      </c>
      <c r="M237" s="420"/>
      <c r="N237" s="420"/>
      <c r="O237" s="420">
        <f t="shared" si="61"/>
        <v>0</v>
      </c>
      <c r="P237" s="420"/>
      <c r="R237" s="420"/>
    </row>
    <row r="238" spans="1:21" ht="31.5" x14ac:dyDescent="0.2">
      <c r="A238" s="414" t="s">
        <v>686</v>
      </c>
      <c r="B238" s="432" t="s">
        <v>687</v>
      </c>
      <c r="C238" s="433" t="s">
        <v>26</v>
      </c>
      <c r="D238" s="433">
        <v>6</v>
      </c>
      <c r="E238" s="433">
        <v>20.12</v>
      </c>
      <c r="F238" s="490">
        <f t="shared" si="66"/>
        <v>120.72</v>
      </c>
      <c r="G238" s="483">
        <v>6</v>
      </c>
      <c r="H238" s="433">
        <v>120.72</v>
      </c>
      <c r="I238" s="435">
        <f t="shared" si="65"/>
        <v>1</v>
      </c>
      <c r="J238" s="433">
        <f t="shared" si="68"/>
        <v>0</v>
      </c>
      <c r="K238" s="433">
        <f t="shared" si="67"/>
        <v>0</v>
      </c>
      <c r="L238" s="435">
        <f t="shared" si="63"/>
        <v>0</v>
      </c>
      <c r="M238" s="420"/>
      <c r="N238" s="420"/>
      <c r="O238" s="420">
        <f t="shared" si="61"/>
        <v>0</v>
      </c>
      <c r="P238" s="420"/>
      <c r="R238" s="420"/>
    </row>
    <row r="239" spans="1:21" ht="47.25" x14ac:dyDescent="0.2">
      <c r="A239" s="414" t="s">
        <v>688</v>
      </c>
      <c r="B239" s="432" t="s">
        <v>689</v>
      </c>
      <c r="C239" s="433" t="s">
        <v>23</v>
      </c>
      <c r="D239" s="433">
        <v>12</v>
      </c>
      <c r="E239" s="433">
        <v>219.44</v>
      </c>
      <c r="F239" s="490">
        <f t="shared" si="66"/>
        <v>2633.28</v>
      </c>
      <c r="G239" s="483">
        <v>12</v>
      </c>
      <c r="H239" s="433">
        <v>2633.2799999999997</v>
      </c>
      <c r="I239" s="435">
        <f t="shared" si="65"/>
        <v>0.99999999999999978</v>
      </c>
      <c r="J239" s="433">
        <f t="shared" si="68"/>
        <v>0</v>
      </c>
      <c r="K239" s="433">
        <f t="shared" si="67"/>
        <v>0</v>
      </c>
      <c r="L239" s="435">
        <f t="shared" si="63"/>
        <v>0</v>
      </c>
      <c r="M239" s="420"/>
      <c r="N239" s="420"/>
      <c r="O239" s="420">
        <f t="shared" si="61"/>
        <v>0</v>
      </c>
      <c r="P239" s="420"/>
      <c r="R239" s="420"/>
    </row>
    <row r="240" spans="1:21" ht="47.25" x14ac:dyDescent="0.2">
      <c r="A240" s="414" t="s">
        <v>690</v>
      </c>
      <c r="B240" s="432" t="s">
        <v>691</v>
      </c>
      <c r="C240" s="433" t="s">
        <v>23</v>
      </c>
      <c r="D240" s="433">
        <v>35</v>
      </c>
      <c r="E240" s="433">
        <v>246.54</v>
      </c>
      <c r="F240" s="490">
        <f t="shared" si="66"/>
        <v>8628.9</v>
      </c>
      <c r="G240" s="483">
        <v>35</v>
      </c>
      <c r="H240" s="433">
        <v>8628.9</v>
      </c>
      <c r="I240" s="435">
        <f t="shared" si="65"/>
        <v>1</v>
      </c>
      <c r="J240" s="433">
        <f t="shared" si="68"/>
        <v>0</v>
      </c>
      <c r="K240" s="433">
        <f t="shared" si="67"/>
        <v>0</v>
      </c>
      <c r="L240" s="435">
        <f t="shared" si="63"/>
        <v>0</v>
      </c>
      <c r="M240" s="420"/>
      <c r="N240" s="420"/>
      <c r="O240" s="420">
        <f t="shared" si="61"/>
        <v>0</v>
      </c>
      <c r="P240" s="420"/>
      <c r="R240" s="420"/>
    </row>
    <row r="241" spans="1:21" ht="63" x14ac:dyDescent="0.2">
      <c r="A241" s="414" t="s">
        <v>692</v>
      </c>
      <c r="B241" s="432" t="s">
        <v>693</v>
      </c>
      <c r="C241" s="433" t="s">
        <v>23</v>
      </c>
      <c r="D241" s="433">
        <v>2</v>
      </c>
      <c r="E241" s="433">
        <v>264.27</v>
      </c>
      <c r="F241" s="490">
        <f t="shared" si="66"/>
        <v>528.54</v>
      </c>
      <c r="G241" s="483">
        <v>2</v>
      </c>
      <c r="H241" s="433">
        <v>528.54</v>
      </c>
      <c r="I241" s="435">
        <f t="shared" si="65"/>
        <v>1</v>
      </c>
      <c r="J241" s="433">
        <f t="shared" si="68"/>
        <v>0</v>
      </c>
      <c r="K241" s="433">
        <f t="shared" si="67"/>
        <v>0</v>
      </c>
      <c r="L241" s="435">
        <f t="shared" si="63"/>
        <v>0</v>
      </c>
      <c r="M241" s="420"/>
      <c r="N241" s="420"/>
      <c r="O241" s="420">
        <f t="shared" si="61"/>
        <v>0</v>
      </c>
      <c r="P241" s="420"/>
      <c r="R241" s="420"/>
    </row>
    <row r="242" spans="1:21" ht="63" x14ac:dyDescent="0.2">
      <c r="A242" s="414" t="s">
        <v>694</v>
      </c>
      <c r="B242" s="432" t="s">
        <v>695</v>
      </c>
      <c r="C242" s="433" t="s">
        <v>23</v>
      </c>
      <c r="D242" s="433">
        <v>2</v>
      </c>
      <c r="E242" s="433">
        <v>629.14</v>
      </c>
      <c r="F242" s="490">
        <f t="shared" si="66"/>
        <v>1258.28</v>
      </c>
      <c r="G242" s="483">
        <v>2</v>
      </c>
      <c r="H242" s="433">
        <v>1258.28</v>
      </c>
      <c r="I242" s="435">
        <f t="shared" si="65"/>
        <v>1</v>
      </c>
      <c r="J242" s="433">
        <f t="shared" si="68"/>
        <v>0</v>
      </c>
      <c r="K242" s="433">
        <f t="shared" si="67"/>
        <v>0</v>
      </c>
      <c r="L242" s="435">
        <f t="shared" si="63"/>
        <v>0</v>
      </c>
      <c r="M242" s="420"/>
      <c r="N242" s="420"/>
      <c r="O242" s="420">
        <f t="shared" si="61"/>
        <v>0</v>
      </c>
      <c r="P242" s="420"/>
      <c r="R242" s="420"/>
    </row>
    <row r="243" spans="1:21" ht="47.25" x14ac:dyDescent="0.2">
      <c r="A243" s="414" t="s">
        <v>696</v>
      </c>
      <c r="B243" s="432" t="s">
        <v>697</v>
      </c>
      <c r="C243" s="433" t="s">
        <v>23</v>
      </c>
      <c r="D243" s="433">
        <v>2</v>
      </c>
      <c r="E243" s="433">
        <v>219.44</v>
      </c>
      <c r="F243" s="490">
        <f t="shared" si="66"/>
        <v>438.88</v>
      </c>
      <c r="G243" s="483">
        <v>2</v>
      </c>
      <c r="H243" s="433">
        <v>438.88</v>
      </c>
      <c r="I243" s="435">
        <f t="shared" si="65"/>
        <v>1</v>
      </c>
      <c r="J243" s="433">
        <f t="shared" si="68"/>
        <v>0</v>
      </c>
      <c r="K243" s="433">
        <f t="shared" si="67"/>
        <v>0</v>
      </c>
      <c r="L243" s="435">
        <f t="shared" si="63"/>
        <v>0</v>
      </c>
      <c r="M243" s="420"/>
      <c r="N243" s="420"/>
      <c r="O243" s="420">
        <f t="shared" si="61"/>
        <v>0</v>
      </c>
      <c r="P243" s="420"/>
      <c r="R243" s="420"/>
    </row>
    <row r="244" spans="1:21" ht="63" x14ac:dyDescent="0.2">
      <c r="A244" s="414" t="s">
        <v>698</v>
      </c>
      <c r="B244" s="432" t="s">
        <v>699</v>
      </c>
      <c r="C244" s="433" t="s">
        <v>23</v>
      </c>
      <c r="D244" s="433">
        <v>2</v>
      </c>
      <c r="E244" s="433">
        <v>151.30000000000001</v>
      </c>
      <c r="F244" s="490">
        <f t="shared" si="66"/>
        <v>302.60000000000002</v>
      </c>
      <c r="G244" s="483">
        <v>2</v>
      </c>
      <c r="H244" s="433">
        <v>302.60000000000002</v>
      </c>
      <c r="I244" s="435">
        <f t="shared" si="65"/>
        <v>1</v>
      </c>
      <c r="J244" s="433">
        <f t="shared" si="68"/>
        <v>0</v>
      </c>
      <c r="K244" s="433">
        <f t="shared" si="67"/>
        <v>0</v>
      </c>
      <c r="L244" s="435">
        <f t="shared" si="63"/>
        <v>0</v>
      </c>
      <c r="M244" s="420"/>
      <c r="N244" s="420"/>
      <c r="O244" s="420">
        <f t="shared" si="61"/>
        <v>0</v>
      </c>
      <c r="P244" s="420"/>
      <c r="R244" s="420"/>
    </row>
    <row r="245" spans="1:21" ht="15.75" x14ac:dyDescent="0.2">
      <c r="A245" s="436"/>
      <c r="B245" s="422" t="s">
        <v>296</v>
      </c>
      <c r="C245" s="424"/>
      <c r="D245" s="424"/>
      <c r="E245" s="424"/>
      <c r="F245" s="427">
        <f>SUM(F227:F244)</f>
        <v>21689.539999999997</v>
      </c>
      <c r="G245" s="428">
        <v>0</v>
      </c>
      <c r="H245" s="425">
        <v>21689.539999999997</v>
      </c>
      <c r="I245" s="429">
        <f t="shared" si="65"/>
        <v>1</v>
      </c>
      <c r="J245" s="430">
        <f t="shared" si="68"/>
        <v>0</v>
      </c>
      <c r="K245" s="425">
        <f>SUM(K227:K244)</f>
        <v>0</v>
      </c>
      <c r="L245" s="429">
        <f t="shared" si="63"/>
        <v>0</v>
      </c>
      <c r="M245" s="420"/>
      <c r="N245" s="420"/>
      <c r="O245" s="420">
        <f t="shared" si="61"/>
        <v>0</v>
      </c>
      <c r="P245" s="420"/>
      <c r="R245" s="420"/>
      <c r="U245" s="386">
        <v>0</v>
      </c>
    </row>
    <row r="246" spans="1:21" ht="15.75" x14ac:dyDescent="0.2">
      <c r="A246" s="436"/>
      <c r="B246" s="422"/>
      <c r="C246" s="424"/>
      <c r="D246" s="424"/>
      <c r="E246" s="424"/>
      <c r="F246" s="427"/>
      <c r="G246" s="428">
        <v>0</v>
      </c>
      <c r="H246" s="424"/>
      <c r="I246" s="429"/>
      <c r="J246" s="430">
        <f t="shared" si="68"/>
        <v>0</v>
      </c>
      <c r="K246" s="426"/>
      <c r="L246" s="431">
        <f t="shared" si="63"/>
        <v>0</v>
      </c>
      <c r="M246" s="420"/>
      <c r="N246" s="420"/>
      <c r="O246" s="420">
        <f t="shared" si="61"/>
        <v>0</v>
      </c>
      <c r="P246" s="420"/>
      <c r="R246" s="420"/>
      <c r="U246" s="386">
        <v>0</v>
      </c>
    </row>
    <row r="247" spans="1:21" ht="15.75" x14ac:dyDescent="0.2">
      <c r="A247" s="421" t="s">
        <v>700</v>
      </c>
      <c r="B247" s="422" t="s">
        <v>701</v>
      </c>
      <c r="C247" s="424">
        <v>0</v>
      </c>
      <c r="D247" s="424">
        <v>0</v>
      </c>
      <c r="E247" s="424">
        <v>0</v>
      </c>
      <c r="F247" s="491">
        <f t="shared" ref="F247" si="69">D247*E247</f>
        <v>0</v>
      </c>
      <c r="G247" s="428">
        <v>0</v>
      </c>
      <c r="H247" s="424"/>
      <c r="I247" s="431">
        <f t="shared" ref="I247:I259" si="70">IF(F247=0,0,H247/F247)</f>
        <v>0</v>
      </c>
      <c r="J247" s="430">
        <f t="shared" si="68"/>
        <v>0</v>
      </c>
      <c r="K247" s="424"/>
      <c r="L247" s="431">
        <f t="shared" si="63"/>
        <v>0</v>
      </c>
      <c r="M247" s="420"/>
      <c r="N247" s="420"/>
      <c r="O247" s="420">
        <f t="shared" si="61"/>
        <v>0</v>
      </c>
      <c r="P247" s="420"/>
      <c r="R247" s="420"/>
      <c r="U247" s="386">
        <v>0</v>
      </c>
    </row>
    <row r="248" spans="1:21" s="402" customFormat="1" ht="31.5" x14ac:dyDescent="0.2">
      <c r="A248" s="414">
        <v>160101</v>
      </c>
      <c r="B248" s="432" t="s">
        <v>702</v>
      </c>
      <c r="C248" s="433" t="s">
        <v>26</v>
      </c>
      <c r="D248" s="433">
        <v>256</v>
      </c>
      <c r="E248" s="433">
        <v>114.97</v>
      </c>
      <c r="F248" s="490">
        <f t="shared" ref="F248:F258" si="71">ROUND((E248*D248),2)</f>
        <v>29432.32</v>
      </c>
      <c r="G248" s="483">
        <v>256</v>
      </c>
      <c r="H248" s="433">
        <v>29432.32</v>
      </c>
      <c r="I248" s="435">
        <f t="shared" si="70"/>
        <v>1</v>
      </c>
      <c r="J248" s="433">
        <f t="shared" si="68"/>
        <v>0</v>
      </c>
      <c r="K248" s="433">
        <f t="shared" ref="K248:K258" si="72">ROUND((J248*E248),2)</f>
        <v>0</v>
      </c>
      <c r="L248" s="435">
        <f t="shared" si="63"/>
        <v>0</v>
      </c>
      <c r="M248" s="420"/>
      <c r="N248" s="420"/>
      <c r="O248" s="420">
        <f t="shared" si="61"/>
        <v>0</v>
      </c>
      <c r="P248" s="420"/>
      <c r="R248" s="420"/>
      <c r="U248" s="402">
        <v>0</v>
      </c>
    </row>
    <row r="249" spans="1:21" s="402" customFormat="1" ht="63" x14ac:dyDescent="0.2">
      <c r="A249" s="414" t="s">
        <v>703</v>
      </c>
      <c r="B249" s="432" t="s">
        <v>704</v>
      </c>
      <c r="C249" s="433" t="s">
        <v>23</v>
      </c>
      <c r="D249" s="433">
        <v>1</v>
      </c>
      <c r="E249" s="433">
        <v>52.99</v>
      </c>
      <c r="F249" s="490">
        <f t="shared" si="71"/>
        <v>52.99</v>
      </c>
      <c r="G249" s="483">
        <v>1</v>
      </c>
      <c r="H249" s="433">
        <v>52.99</v>
      </c>
      <c r="I249" s="435">
        <f t="shared" si="70"/>
        <v>1</v>
      </c>
      <c r="J249" s="433">
        <f t="shared" si="68"/>
        <v>0</v>
      </c>
      <c r="K249" s="433">
        <f t="shared" si="72"/>
        <v>0</v>
      </c>
      <c r="L249" s="435">
        <f t="shared" si="63"/>
        <v>0</v>
      </c>
      <c r="M249" s="420"/>
      <c r="N249" s="420"/>
      <c r="O249" s="420">
        <f t="shared" si="61"/>
        <v>0</v>
      </c>
      <c r="P249" s="420"/>
      <c r="R249" s="420"/>
      <c r="U249" s="402">
        <v>0</v>
      </c>
    </row>
    <row r="250" spans="1:21" s="402" customFormat="1" ht="63" x14ac:dyDescent="0.2">
      <c r="A250" s="414">
        <v>160103</v>
      </c>
      <c r="B250" s="432" t="s">
        <v>705</v>
      </c>
      <c r="C250" s="433" t="s">
        <v>23</v>
      </c>
      <c r="D250" s="433">
        <v>1</v>
      </c>
      <c r="E250" s="433">
        <v>1066.6400000000001</v>
      </c>
      <c r="F250" s="490">
        <f t="shared" si="71"/>
        <v>1066.6400000000001</v>
      </c>
      <c r="G250" s="483">
        <v>1</v>
      </c>
      <c r="H250" s="433">
        <v>1066.6400000000001</v>
      </c>
      <c r="I250" s="435">
        <f t="shared" si="70"/>
        <v>1</v>
      </c>
      <c r="J250" s="433">
        <f t="shared" si="68"/>
        <v>0</v>
      </c>
      <c r="K250" s="433">
        <f t="shared" si="72"/>
        <v>0</v>
      </c>
      <c r="L250" s="435">
        <f t="shared" si="63"/>
        <v>0</v>
      </c>
      <c r="M250" s="420"/>
      <c r="N250" s="420"/>
      <c r="O250" s="420">
        <f t="shared" si="61"/>
        <v>0</v>
      </c>
      <c r="P250" s="420"/>
      <c r="R250" s="420"/>
    </row>
    <row r="251" spans="1:21" s="402" customFormat="1" ht="31.5" x14ac:dyDescent="0.2">
      <c r="A251" s="414" t="s">
        <v>706</v>
      </c>
      <c r="B251" s="432" t="s">
        <v>707</v>
      </c>
      <c r="C251" s="433" t="s">
        <v>23</v>
      </c>
      <c r="D251" s="433">
        <v>4</v>
      </c>
      <c r="E251" s="433">
        <v>878.54</v>
      </c>
      <c r="F251" s="490">
        <f t="shared" si="71"/>
        <v>3514.16</v>
      </c>
      <c r="G251" s="483">
        <v>4</v>
      </c>
      <c r="H251" s="433">
        <v>3514.16</v>
      </c>
      <c r="I251" s="435">
        <f t="shared" si="70"/>
        <v>1</v>
      </c>
      <c r="J251" s="433">
        <f t="shared" si="68"/>
        <v>0</v>
      </c>
      <c r="K251" s="433">
        <f t="shared" si="72"/>
        <v>0</v>
      </c>
      <c r="L251" s="435">
        <f t="shared" si="63"/>
        <v>0</v>
      </c>
      <c r="M251" s="420"/>
      <c r="N251" s="420"/>
      <c r="O251" s="420">
        <f t="shared" si="61"/>
        <v>0</v>
      </c>
      <c r="P251" s="420"/>
      <c r="R251" s="420"/>
    </row>
    <row r="252" spans="1:21" s="402" customFormat="1" ht="15.75" x14ac:dyDescent="0.2">
      <c r="A252" s="414">
        <v>160201</v>
      </c>
      <c r="B252" s="432" t="s">
        <v>708</v>
      </c>
      <c r="C252" s="433" t="s">
        <v>26</v>
      </c>
      <c r="D252" s="433">
        <v>480</v>
      </c>
      <c r="E252" s="433">
        <v>28.57</v>
      </c>
      <c r="F252" s="490">
        <f t="shared" si="71"/>
        <v>13713.6</v>
      </c>
      <c r="G252" s="483">
        <v>480</v>
      </c>
      <c r="H252" s="433">
        <v>13713.599999999999</v>
      </c>
      <c r="I252" s="435">
        <f t="shared" si="70"/>
        <v>0.99999999999999989</v>
      </c>
      <c r="J252" s="433">
        <f t="shared" si="68"/>
        <v>0</v>
      </c>
      <c r="K252" s="433">
        <f t="shared" si="72"/>
        <v>0</v>
      </c>
      <c r="L252" s="435">
        <f t="shared" ref="L252:L283" si="73">IF(F252=0,0,K252/F252)</f>
        <v>0</v>
      </c>
      <c r="M252" s="420"/>
      <c r="N252" s="420"/>
      <c r="O252" s="420">
        <f t="shared" si="61"/>
        <v>0</v>
      </c>
      <c r="P252" s="420"/>
      <c r="R252" s="420"/>
      <c r="U252" s="402">
        <v>3442.6849999999999</v>
      </c>
    </row>
    <row r="253" spans="1:21" s="402" customFormat="1" ht="15.75" x14ac:dyDescent="0.2">
      <c r="A253" s="414">
        <v>160202</v>
      </c>
      <c r="B253" s="432" t="s">
        <v>709</v>
      </c>
      <c r="C253" s="433" t="s">
        <v>26</v>
      </c>
      <c r="D253" s="433">
        <v>63</v>
      </c>
      <c r="E253" s="433">
        <v>34.729999999999997</v>
      </c>
      <c r="F253" s="490">
        <f t="shared" si="71"/>
        <v>2187.9899999999998</v>
      </c>
      <c r="G253" s="483">
        <v>63</v>
      </c>
      <c r="H253" s="433">
        <v>2187.9900000000002</v>
      </c>
      <c r="I253" s="435">
        <f t="shared" si="70"/>
        <v>1.0000000000000002</v>
      </c>
      <c r="J253" s="433">
        <f t="shared" si="68"/>
        <v>0</v>
      </c>
      <c r="K253" s="433">
        <f t="shared" si="72"/>
        <v>0</v>
      </c>
      <c r="L253" s="435">
        <f t="shared" si="73"/>
        <v>0</v>
      </c>
      <c r="M253" s="420"/>
      <c r="N253" s="420"/>
      <c r="O253" s="420">
        <f t="shared" si="61"/>
        <v>0</v>
      </c>
      <c r="P253" s="420"/>
      <c r="R253" s="420"/>
      <c r="U253" s="402">
        <v>1667.04</v>
      </c>
    </row>
    <row r="254" spans="1:21" s="402" customFormat="1" ht="15.75" x14ac:dyDescent="0.2">
      <c r="A254" s="414">
        <v>160203</v>
      </c>
      <c r="B254" s="432" t="s">
        <v>710</v>
      </c>
      <c r="C254" s="433" t="s">
        <v>26</v>
      </c>
      <c r="D254" s="433">
        <v>480</v>
      </c>
      <c r="E254" s="433">
        <v>42.88</v>
      </c>
      <c r="F254" s="490">
        <f t="shared" si="71"/>
        <v>20582.400000000001</v>
      </c>
      <c r="G254" s="483">
        <v>480</v>
      </c>
      <c r="H254" s="433">
        <v>20582.399999999998</v>
      </c>
      <c r="I254" s="435">
        <f t="shared" si="70"/>
        <v>0.99999999999999978</v>
      </c>
      <c r="J254" s="433">
        <f t="shared" si="68"/>
        <v>0</v>
      </c>
      <c r="K254" s="433">
        <f t="shared" si="72"/>
        <v>0</v>
      </c>
      <c r="L254" s="435">
        <f t="shared" si="73"/>
        <v>0</v>
      </c>
      <c r="M254" s="420"/>
      <c r="N254" s="420"/>
      <c r="O254" s="420">
        <f t="shared" si="61"/>
        <v>0</v>
      </c>
      <c r="P254" s="420"/>
      <c r="R254" s="420"/>
      <c r="U254" s="402">
        <v>5167.04</v>
      </c>
    </row>
    <row r="255" spans="1:21" s="402" customFormat="1" ht="15.75" x14ac:dyDescent="0.2">
      <c r="A255" s="414">
        <v>160204</v>
      </c>
      <c r="B255" s="432" t="s">
        <v>711</v>
      </c>
      <c r="C255" s="433" t="s">
        <v>26</v>
      </c>
      <c r="D255" s="433">
        <v>63</v>
      </c>
      <c r="E255" s="433">
        <v>56.85</v>
      </c>
      <c r="F255" s="490">
        <f t="shared" si="71"/>
        <v>3581.55</v>
      </c>
      <c r="G255" s="483">
        <v>63</v>
      </c>
      <c r="H255" s="433">
        <v>3581.55</v>
      </c>
      <c r="I255" s="435">
        <f t="shared" si="70"/>
        <v>1</v>
      </c>
      <c r="J255" s="433">
        <f t="shared" si="68"/>
        <v>0</v>
      </c>
      <c r="K255" s="433">
        <f t="shared" si="72"/>
        <v>0</v>
      </c>
      <c r="L255" s="435">
        <f t="shared" si="73"/>
        <v>0</v>
      </c>
      <c r="M255" s="420"/>
      <c r="N255" s="420"/>
      <c r="O255" s="420">
        <f t="shared" si="61"/>
        <v>0</v>
      </c>
      <c r="P255" s="420"/>
      <c r="R255" s="420"/>
      <c r="U255" s="402">
        <v>3069.9</v>
      </c>
    </row>
    <row r="256" spans="1:21" s="402" customFormat="1" ht="31.5" x14ac:dyDescent="0.2">
      <c r="A256" s="414">
        <v>160205</v>
      </c>
      <c r="B256" s="432" t="s">
        <v>712</v>
      </c>
      <c r="C256" s="433" t="s">
        <v>23</v>
      </c>
      <c r="D256" s="433">
        <v>60</v>
      </c>
      <c r="E256" s="433">
        <v>10.55</v>
      </c>
      <c r="F256" s="490">
        <f t="shared" si="71"/>
        <v>633</v>
      </c>
      <c r="G256" s="483">
        <v>60</v>
      </c>
      <c r="H256" s="433">
        <v>633</v>
      </c>
      <c r="I256" s="435">
        <f t="shared" si="70"/>
        <v>1</v>
      </c>
      <c r="J256" s="433">
        <f t="shared" si="68"/>
        <v>0</v>
      </c>
      <c r="K256" s="433">
        <f t="shared" si="72"/>
        <v>0</v>
      </c>
      <c r="L256" s="435">
        <f t="shared" si="73"/>
        <v>0</v>
      </c>
      <c r="M256" s="420"/>
      <c r="N256" s="420"/>
      <c r="O256" s="420">
        <f t="shared" si="61"/>
        <v>0</v>
      </c>
      <c r="P256" s="420"/>
      <c r="R256" s="420"/>
      <c r="U256" s="402">
        <v>232.10000000000002</v>
      </c>
    </row>
    <row r="257" spans="1:21" s="402" customFormat="1" ht="63" x14ac:dyDescent="0.2">
      <c r="A257" s="414">
        <v>160206</v>
      </c>
      <c r="B257" s="432" t="s">
        <v>713</v>
      </c>
      <c r="C257" s="433" t="s">
        <v>23</v>
      </c>
      <c r="D257" s="433">
        <v>95</v>
      </c>
      <c r="E257" s="433">
        <v>304.60000000000002</v>
      </c>
      <c r="F257" s="490">
        <f t="shared" si="71"/>
        <v>28937</v>
      </c>
      <c r="G257" s="483">
        <v>95</v>
      </c>
      <c r="H257" s="433">
        <v>28937</v>
      </c>
      <c r="I257" s="435">
        <f t="shared" si="70"/>
        <v>1</v>
      </c>
      <c r="J257" s="433">
        <f t="shared" si="68"/>
        <v>0</v>
      </c>
      <c r="K257" s="433">
        <f t="shared" si="72"/>
        <v>0</v>
      </c>
      <c r="L257" s="435">
        <f t="shared" si="73"/>
        <v>0</v>
      </c>
      <c r="M257" s="420"/>
      <c r="N257" s="420"/>
      <c r="O257" s="420">
        <f t="shared" si="61"/>
        <v>0</v>
      </c>
      <c r="P257" s="420"/>
      <c r="R257" s="420"/>
    </row>
    <row r="258" spans="1:21" s="402" customFormat="1" ht="63" x14ac:dyDescent="0.2">
      <c r="A258" s="414">
        <v>160207</v>
      </c>
      <c r="B258" s="432" t="s">
        <v>714</v>
      </c>
      <c r="C258" s="433" t="s">
        <v>26</v>
      </c>
      <c r="D258" s="433">
        <v>540</v>
      </c>
      <c r="E258" s="433">
        <v>120.23</v>
      </c>
      <c r="F258" s="490">
        <f t="shared" si="71"/>
        <v>64924.2</v>
      </c>
      <c r="G258" s="483">
        <v>540</v>
      </c>
      <c r="H258" s="433">
        <v>64924.200000000012</v>
      </c>
      <c r="I258" s="435">
        <f t="shared" si="70"/>
        <v>1.0000000000000002</v>
      </c>
      <c r="J258" s="433">
        <f t="shared" si="68"/>
        <v>0</v>
      </c>
      <c r="K258" s="433">
        <f t="shared" si="72"/>
        <v>0</v>
      </c>
      <c r="L258" s="435">
        <f t="shared" si="73"/>
        <v>0</v>
      </c>
      <c r="M258" s="420"/>
      <c r="N258" s="420"/>
      <c r="O258" s="420">
        <f t="shared" si="61"/>
        <v>0</v>
      </c>
      <c r="P258" s="420"/>
      <c r="R258" s="420"/>
      <c r="U258" s="402">
        <v>23985.885000000002</v>
      </c>
    </row>
    <row r="259" spans="1:21" ht="15.75" x14ac:dyDescent="0.2">
      <c r="A259" s="436"/>
      <c r="B259" s="422" t="s">
        <v>297</v>
      </c>
      <c r="C259" s="424"/>
      <c r="D259" s="424"/>
      <c r="E259" s="424"/>
      <c r="F259" s="427">
        <f>SUM(F248:F258)</f>
        <v>168625.85</v>
      </c>
      <c r="G259" s="428">
        <v>0</v>
      </c>
      <c r="H259" s="425">
        <v>168625.85</v>
      </c>
      <c r="I259" s="429">
        <f t="shared" si="70"/>
        <v>1</v>
      </c>
      <c r="J259" s="430">
        <f t="shared" si="68"/>
        <v>0</v>
      </c>
      <c r="K259" s="425">
        <f>SUM(K248:K258)</f>
        <v>0</v>
      </c>
      <c r="L259" s="429">
        <f t="shared" si="73"/>
        <v>0</v>
      </c>
      <c r="M259" s="420" t="e">
        <f>#REF!+#REF!</f>
        <v>#REF!</v>
      </c>
      <c r="N259" s="420">
        <f>K259</f>
        <v>0</v>
      </c>
      <c r="O259" s="420">
        <f t="shared" si="61"/>
        <v>0</v>
      </c>
      <c r="P259" s="420"/>
      <c r="R259" s="420"/>
      <c r="U259" s="386">
        <v>37564.65</v>
      </c>
    </row>
    <row r="260" spans="1:21" ht="15.75" x14ac:dyDescent="0.2">
      <c r="A260" s="436"/>
      <c r="B260" s="422"/>
      <c r="C260" s="424"/>
      <c r="D260" s="424"/>
      <c r="E260" s="424"/>
      <c r="F260" s="427"/>
      <c r="G260" s="428">
        <v>0</v>
      </c>
      <c r="H260" s="424"/>
      <c r="I260" s="429"/>
      <c r="J260" s="430">
        <f t="shared" si="68"/>
        <v>0</v>
      </c>
      <c r="K260" s="426"/>
      <c r="L260" s="431">
        <f t="shared" si="73"/>
        <v>0</v>
      </c>
      <c r="M260" s="420"/>
      <c r="N260" s="420"/>
      <c r="O260" s="420">
        <f t="shared" si="61"/>
        <v>0</v>
      </c>
      <c r="P260" s="420"/>
      <c r="R260" s="420"/>
      <c r="U260" s="386">
        <v>0</v>
      </c>
    </row>
    <row r="261" spans="1:21" ht="15.75" x14ac:dyDescent="0.2">
      <c r="A261" s="421" t="s">
        <v>715</v>
      </c>
      <c r="B261" s="422" t="s">
        <v>716</v>
      </c>
      <c r="C261" s="424">
        <v>0</v>
      </c>
      <c r="D261" s="424">
        <v>0</v>
      </c>
      <c r="E261" s="424">
        <v>0</v>
      </c>
      <c r="F261" s="491">
        <f t="shared" ref="F261" si="74">D261*E261</f>
        <v>0</v>
      </c>
      <c r="G261" s="428">
        <v>0</v>
      </c>
      <c r="H261" s="424"/>
      <c r="I261" s="431">
        <f t="shared" ref="I261:I286" si="75">IF(F261=0,0,H261/F261)</f>
        <v>0</v>
      </c>
      <c r="J261" s="430">
        <f t="shared" si="68"/>
        <v>0</v>
      </c>
      <c r="K261" s="424"/>
      <c r="L261" s="431">
        <f t="shared" si="73"/>
        <v>0</v>
      </c>
      <c r="M261" s="420"/>
      <c r="N261" s="420"/>
      <c r="O261" s="420">
        <f t="shared" si="61"/>
        <v>0</v>
      </c>
      <c r="P261" s="420"/>
      <c r="R261" s="420"/>
      <c r="U261" s="386">
        <v>0</v>
      </c>
    </row>
    <row r="262" spans="1:21" s="402" customFormat="1" ht="78.75" x14ac:dyDescent="0.2">
      <c r="A262" s="414" t="s">
        <v>717</v>
      </c>
      <c r="B262" s="432" t="s">
        <v>718</v>
      </c>
      <c r="C262" s="433" t="s">
        <v>23</v>
      </c>
      <c r="D262" s="433">
        <v>4</v>
      </c>
      <c r="E262" s="433">
        <v>1531.45</v>
      </c>
      <c r="F262" s="490">
        <f t="shared" ref="F262:F285" si="76">ROUND((E262*D262),2)</f>
        <v>6125.8</v>
      </c>
      <c r="G262" s="483">
        <v>4</v>
      </c>
      <c r="H262" s="433">
        <v>6125.8</v>
      </c>
      <c r="I262" s="435">
        <f t="shared" si="75"/>
        <v>1</v>
      </c>
      <c r="J262" s="433">
        <f t="shared" si="68"/>
        <v>0</v>
      </c>
      <c r="K262" s="433">
        <f t="shared" ref="K262:K285" si="77">ROUND((J262*E262),2)</f>
        <v>0</v>
      </c>
      <c r="L262" s="435">
        <f t="shared" si="73"/>
        <v>0</v>
      </c>
      <c r="M262" s="420"/>
      <c r="N262" s="420"/>
      <c r="O262" s="420">
        <f t="shared" si="61"/>
        <v>0</v>
      </c>
      <c r="P262" s="420"/>
      <c r="R262" s="420"/>
    </row>
    <row r="263" spans="1:21" s="402" customFormat="1" ht="78.75" x14ac:dyDescent="0.2">
      <c r="A263" s="414">
        <v>170102</v>
      </c>
      <c r="B263" s="432" t="s">
        <v>719</v>
      </c>
      <c r="C263" s="433" t="s">
        <v>23</v>
      </c>
      <c r="D263" s="433">
        <v>4</v>
      </c>
      <c r="E263" s="433">
        <v>3692.5</v>
      </c>
      <c r="F263" s="490">
        <f t="shared" si="76"/>
        <v>14770</v>
      </c>
      <c r="G263" s="483">
        <v>4</v>
      </c>
      <c r="H263" s="433">
        <v>14770</v>
      </c>
      <c r="I263" s="435">
        <f t="shared" si="75"/>
        <v>1</v>
      </c>
      <c r="J263" s="433">
        <f t="shared" si="68"/>
        <v>0</v>
      </c>
      <c r="K263" s="433">
        <f t="shared" si="77"/>
        <v>0</v>
      </c>
      <c r="L263" s="435">
        <f t="shared" si="73"/>
        <v>0</v>
      </c>
      <c r="M263" s="420"/>
      <c r="N263" s="420"/>
      <c r="O263" s="420">
        <f t="shared" si="61"/>
        <v>0</v>
      </c>
      <c r="P263" s="420"/>
      <c r="R263" s="420"/>
    </row>
    <row r="264" spans="1:21" s="402" customFormat="1" ht="31.5" x14ac:dyDescent="0.2">
      <c r="A264" s="414" t="s">
        <v>720</v>
      </c>
      <c r="B264" s="432" t="s">
        <v>721</v>
      </c>
      <c r="C264" s="433" t="s">
        <v>23</v>
      </c>
      <c r="D264" s="433">
        <v>4</v>
      </c>
      <c r="E264" s="433">
        <v>615.78</v>
      </c>
      <c r="F264" s="490">
        <f t="shared" si="76"/>
        <v>2463.12</v>
      </c>
      <c r="G264" s="483">
        <v>4</v>
      </c>
      <c r="H264" s="433">
        <v>2463.12</v>
      </c>
      <c r="I264" s="435">
        <f t="shared" si="75"/>
        <v>1</v>
      </c>
      <c r="J264" s="433">
        <f t="shared" si="68"/>
        <v>0</v>
      </c>
      <c r="K264" s="433">
        <f t="shared" si="77"/>
        <v>0</v>
      </c>
      <c r="L264" s="435">
        <f t="shared" si="73"/>
        <v>0</v>
      </c>
      <c r="M264" s="420"/>
      <c r="N264" s="420"/>
      <c r="O264" s="420">
        <f t="shared" si="61"/>
        <v>0</v>
      </c>
      <c r="P264" s="420"/>
      <c r="R264" s="420"/>
    </row>
    <row r="265" spans="1:21" s="402" customFormat="1" ht="78.75" x14ac:dyDescent="0.2">
      <c r="A265" s="414" t="s">
        <v>722</v>
      </c>
      <c r="B265" s="432" t="s">
        <v>723</v>
      </c>
      <c r="C265" s="433" t="s">
        <v>23</v>
      </c>
      <c r="D265" s="433">
        <v>2</v>
      </c>
      <c r="E265" s="433">
        <v>1596.77</v>
      </c>
      <c r="F265" s="490">
        <f t="shared" si="76"/>
        <v>3193.54</v>
      </c>
      <c r="G265" s="483">
        <v>1</v>
      </c>
      <c r="H265" s="433">
        <v>1596.77</v>
      </c>
      <c r="I265" s="435">
        <f t="shared" si="75"/>
        <v>0.5</v>
      </c>
      <c r="J265" s="433">
        <f t="shared" si="68"/>
        <v>1</v>
      </c>
      <c r="K265" s="433">
        <f t="shared" si="77"/>
        <v>1596.77</v>
      </c>
      <c r="L265" s="435">
        <f t="shared" si="73"/>
        <v>0.5</v>
      </c>
      <c r="M265" s="420"/>
      <c r="N265" s="420"/>
      <c r="O265" s="420">
        <f t="shared" si="61"/>
        <v>1596.77</v>
      </c>
      <c r="P265" s="420"/>
      <c r="R265" s="420"/>
    </row>
    <row r="266" spans="1:21" s="402" customFormat="1" ht="31.5" x14ac:dyDescent="0.2">
      <c r="A266" s="414" t="s">
        <v>724</v>
      </c>
      <c r="B266" s="432" t="s">
        <v>725</v>
      </c>
      <c r="C266" s="433" t="s">
        <v>23</v>
      </c>
      <c r="D266" s="433">
        <v>4</v>
      </c>
      <c r="E266" s="433">
        <v>1452.2</v>
      </c>
      <c r="F266" s="490">
        <f t="shared" si="76"/>
        <v>5808.8</v>
      </c>
      <c r="G266" s="483">
        <v>4</v>
      </c>
      <c r="H266" s="433">
        <v>5808.8</v>
      </c>
      <c r="I266" s="435">
        <f t="shared" si="75"/>
        <v>1</v>
      </c>
      <c r="J266" s="433">
        <f t="shared" si="68"/>
        <v>0</v>
      </c>
      <c r="K266" s="433">
        <f t="shared" si="77"/>
        <v>0</v>
      </c>
      <c r="L266" s="435">
        <f t="shared" si="73"/>
        <v>0</v>
      </c>
      <c r="M266" s="420"/>
      <c r="N266" s="420"/>
      <c r="O266" s="420">
        <f t="shared" si="61"/>
        <v>0</v>
      </c>
      <c r="P266" s="420"/>
      <c r="R266" s="420"/>
      <c r="U266" s="402">
        <v>0</v>
      </c>
    </row>
    <row r="267" spans="1:21" s="402" customFormat="1" ht="63" x14ac:dyDescent="0.2">
      <c r="A267" s="414" t="s">
        <v>726</v>
      </c>
      <c r="B267" s="432" t="s">
        <v>727</v>
      </c>
      <c r="C267" s="433" t="s">
        <v>35</v>
      </c>
      <c r="D267" s="433">
        <v>3.12</v>
      </c>
      <c r="E267" s="433">
        <v>1035.47</v>
      </c>
      <c r="F267" s="490">
        <f t="shared" si="76"/>
        <v>3230.67</v>
      </c>
      <c r="G267" s="483">
        <v>1.85</v>
      </c>
      <c r="H267" s="433">
        <v>1915.6195000000002</v>
      </c>
      <c r="I267" s="435">
        <f t="shared" si="75"/>
        <v>0.59294805721413835</v>
      </c>
      <c r="J267" s="433">
        <f t="shared" si="68"/>
        <v>1.27</v>
      </c>
      <c r="K267" s="433">
        <f t="shared" si="77"/>
        <v>1315.05</v>
      </c>
      <c r="L267" s="435">
        <f t="shared" si="73"/>
        <v>0.40705178801920344</v>
      </c>
      <c r="M267" s="420"/>
      <c r="N267" s="420"/>
      <c r="O267" s="420">
        <f t="shared" ref="O267:O330" si="78">K267-N267</f>
        <v>1315.05</v>
      </c>
      <c r="P267" s="420"/>
      <c r="R267" s="420"/>
      <c r="U267" s="402">
        <v>0</v>
      </c>
    </row>
    <row r="268" spans="1:21" s="402" customFormat="1" ht="63" x14ac:dyDescent="0.2">
      <c r="A268" s="414" t="s">
        <v>728</v>
      </c>
      <c r="B268" s="432" t="s">
        <v>729</v>
      </c>
      <c r="C268" s="433" t="s">
        <v>26</v>
      </c>
      <c r="D268" s="433">
        <v>11.5</v>
      </c>
      <c r="E268" s="433">
        <v>142.13999999999999</v>
      </c>
      <c r="F268" s="490">
        <f t="shared" si="76"/>
        <v>1634.61</v>
      </c>
      <c r="G268" s="483">
        <v>3.56</v>
      </c>
      <c r="H268" s="433">
        <v>506.01839999999999</v>
      </c>
      <c r="I268" s="435">
        <f t="shared" si="75"/>
        <v>0.30956521739130438</v>
      </c>
      <c r="J268" s="433">
        <f t="shared" si="68"/>
        <v>7.9399999999999995</v>
      </c>
      <c r="K268" s="433">
        <f t="shared" si="77"/>
        <v>1128.5899999999999</v>
      </c>
      <c r="L268" s="435">
        <f t="shared" si="73"/>
        <v>0.69043380378194186</v>
      </c>
      <c r="M268" s="420"/>
      <c r="N268" s="420"/>
      <c r="O268" s="420">
        <f t="shared" si="78"/>
        <v>1128.5899999999999</v>
      </c>
      <c r="P268" s="420"/>
      <c r="R268" s="420"/>
    </row>
    <row r="269" spans="1:21" s="402" customFormat="1" ht="63" x14ac:dyDescent="0.2">
      <c r="A269" s="414" t="s">
        <v>730</v>
      </c>
      <c r="B269" s="432" t="s">
        <v>731</v>
      </c>
      <c r="C269" s="433" t="s">
        <v>23</v>
      </c>
      <c r="D269" s="433">
        <v>8</v>
      </c>
      <c r="E269" s="433">
        <v>619.44000000000005</v>
      </c>
      <c r="F269" s="490">
        <f t="shared" si="76"/>
        <v>4955.5200000000004</v>
      </c>
      <c r="G269" s="483">
        <v>8</v>
      </c>
      <c r="H269" s="433">
        <v>4955.5200000000004</v>
      </c>
      <c r="I269" s="435">
        <f t="shared" si="75"/>
        <v>1</v>
      </c>
      <c r="J269" s="433">
        <f t="shared" ref="J269:J300" si="79">D269-G269</f>
        <v>0</v>
      </c>
      <c r="K269" s="433">
        <f t="shared" si="77"/>
        <v>0</v>
      </c>
      <c r="L269" s="435">
        <f t="shared" si="73"/>
        <v>0</v>
      </c>
      <c r="M269" s="420"/>
      <c r="N269" s="420"/>
      <c r="O269" s="420">
        <f t="shared" si="78"/>
        <v>0</v>
      </c>
      <c r="P269" s="420"/>
      <c r="R269" s="420"/>
    </row>
    <row r="270" spans="1:21" s="412" customFormat="1" ht="31.5" x14ac:dyDescent="0.2">
      <c r="A270" s="414" t="s">
        <v>732</v>
      </c>
      <c r="B270" s="432" t="s">
        <v>733</v>
      </c>
      <c r="C270" s="433" t="s">
        <v>23</v>
      </c>
      <c r="D270" s="433">
        <v>4</v>
      </c>
      <c r="E270" s="433">
        <v>303</v>
      </c>
      <c r="F270" s="490">
        <f t="shared" si="76"/>
        <v>1212</v>
      </c>
      <c r="G270" s="483">
        <v>4</v>
      </c>
      <c r="H270" s="433">
        <v>1212</v>
      </c>
      <c r="I270" s="435">
        <f t="shared" si="75"/>
        <v>1</v>
      </c>
      <c r="J270" s="433">
        <f t="shared" si="79"/>
        <v>0</v>
      </c>
      <c r="K270" s="433">
        <f t="shared" si="77"/>
        <v>0</v>
      </c>
      <c r="L270" s="435">
        <f t="shared" si="73"/>
        <v>0</v>
      </c>
      <c r="M270" s="420"/>
      <c r="N270" s="420"/>
      <c r="O270" s="420">
        <f t="shared" si="78"/>
        <v>0</v>
      </c>
      <c r="P270" s="420"/>
      <c r="R270" s="420"/>
      <c r="U270" s="412">
        <v>0</v>
      </c>
    </row>
    <row r="271" spans="1:21" s="412" customFormat="1" ht="31.5" x14ac:dyDescent="0.2">
      <c r="A271" s="414" t="s">
        <v>734</v>
      </c>
      <c r="B271" s="432" t="s">
        <v>735</v>
      </c>
      <c r="C271" s="433" t="s">
        <v>23</v>
      </c>
      <c r="D271" s="433">
        <v>1</v>
      </c>
      <c r="E271" s="433">
        <v>161.94999999999999</v>
      </c>
      <c r="F271" s="490">
        <f t="shared" si="76"/>
        <v>161.94999999999999</v>
      </c>
      <c r="G271" s="483">
        <v>0</v>
      </c>
      <c r="H271" s="433">
        <v>0</v>
      </c>
      <c r="I271" s="435">
        <f t="shared" si="75"/>
        <v>0</v>
      </c>
      <c r="J271" s="433">
        <f t="shared" si="79"/>
        <v>1</v>
      </c>
      <c r="K271" s="433">
        <f t="shared" si="77"/>
        <v>161.94999999999999</v>
      </c>
      <c r="L271" s="435">
        <f t="shared" si="73"/>
        <v>1</v>
      </c>
      <c r="M271" s="420"/>
      <c r="N271" s="420"/>
      <c r="O271" s="420">
        <f t="shared" si="78"/>
        <v>161.94999999999999</v>
      </c>
      <c r="P271" s="420"/>
      <c r="R271" s="420"/>
    </row>
    <row r="272" spans="1:21" s="412" customFormat="1" ht="31.5" x14ac:dyDescent="0.2">
      <c r="A272" s="414" t="s">
        <v>736</v>
      </c>
      <c r="B272" s="432" t="s">
        <v>737</v>
      </c>
      <c r="C272" s="433" t="s">
        <v>23</v>
      </c>
      <c r="D272" s="433">
        <v>3</v>
      </c>
      <c r="E272" s="433">
        <v>454.34</v>
      </c>
      <c r="F272" s="490">
        <f t="shared" si="76"/>
        <v>1363.02</v>
      </c>
      <c r="G272" s="483">
        <v>0</v>
      </c>
      <c r="H272" s="433">
        <v>0</v>
      </c>
      <c r="I272" s="435">
        <f t="shared" si="75"/>
        <v>0</v>
      </c>
      <c r="J272" s="433">
        <f t="shared" si="79"/>
        <v>3</v>
      </c>
      <c r="K272" s="433">
        <f t="shared" si="77"/>
        <v>1363.02</v>
      </c>
      <c r="L272" s="435">
        <f t="shared" si="73"/>
        <v>1</v>
      </c>
      <c r="M272" s="420"/>
      <c r="N272" s="420"/>
      <c r="O272" s="420">
        <f t="shared" si="78"/>
        <v>1363.02</v>
      </c>
      <c r="P272" s="420"/>
      <c r="R272" s="420"/>
    </row>
    <row r="273" spans="1:21" s="412" customFormat="1" ht="47.25" x14ac:dyDescent="0.2">
      <c r="A273" s="414" t="s">
        <v>738</v>
      </c>
      <c r="B273" s="432" t="s">
        <v>739</v>
      </c>
      <c r="C273" s="433" t="s">
        <v>23</v>
      </c>
      <c r="D273" s="433">
        <v>4</v>
      </c>
      <c r="E273" s="433">
        <v>1232.29</v>
      </c>
      <c r="F273" s="490">
        <f t="shared" si="76"/>
        <v>4929.16</v>
      </c>
      <c r="G273" s="483">
        <v>2</v>
      </c>
      <c r="H273" s="433">
        <v>2464.58</v>
      </c>
      <c r="I273" s="435">
        <f t="shared" si="75"/>
        <v>0.5</v>
      </c>
      <c r="J273" s="433">
        <f t="shared" si="79"/>
        <v>2</v>
      </c>
      <c r="K273" s="433">
        <f t="shared" si="77"/>
        <v>2464.58</v>
      </c>
      <c r="L273" s="435">
        <f t="shared" si="73"/>
        <v>0.5</v>
      </c>
      <c r="M273" s="420"/>
      <c r="N273" s="420"/>
      <c r="O273" s="420">
        <f t="shared" si="78"/>
        <v>2464.58</v>
      </c>
      <c r="P273" s="420"/>
      <c r="R273" s="420"/>
    </row>
    <row r="274" spans="1:21" s="412" customFormat="1" ht="47.25" x14ac:dyDescent="0.2">
      <c r="A274" s="414" t="s">
        <v>740</v>
      </c>
      <c r="B274" s="432" t="s">
        <v>741</v>
      </c>
      <c r="C274" s="433" t="s">
        <v>23</v>
      </c>
      <c r="D274" s="433">
        <v>1</v>
      </c>
      <c r="E274" s="433">
        <v>2491.35</v>
      </c>
      <c r="F274" s="490">
        <f t="shared" si="76"/>
        <v>2491.35</v>
      </c>
      <c r="G274" s="483">
        <v>1</v>
      </c>
      <c r="H274" s="433">
        <v>2491.35</v>
      </c>
      <c r="I274" s="435">
        <f t="shared" si="75"/>
        <v>1</v>
      </c>
      <c r="J274" s="433">
        <f t="shared" si="79"/>
        <v>0</v>
      </c>
      <c r="K274" s="433">
        <f t="shared" si="77"/>
        <v>0</v>
      </c>
      <c r="L274" s="435">
        <f t="shared" si="73"/>
        <v>0</v>
      </c>
      <c r="M274" s="420"/>
      <c r="N274" s="420"/>
      <c r="O274" s="420">
        <f t="shared" si="78"/>
        <v>0</v>
      </c>
      <c r="P274" s="420"/>
      <c r="R274" s="420"/>
    </row>
    <row r="275" spans="1:21" s="412" customFormat="1" ht="31.5" x14ac:dyDescent="0.2">
      <c r="A275" s="414" t="s">
        <v>742</v>
      </c>
      <c r="B275" s="432" t="s">
        <v>743</v>
      </c>
      <c r="C275" s="433" t="s">
        <v>23</v>
      </c>
      <c r="D275" s="433">
        <v>7</v>
      </c>
      <c r="E275" s="433">
        <v>372.07</v>
      </c>
      <c r="F275" s="490">
        <f t="shared" si="76"/>
        <v>2604.4899999999998</v>
      </c>
      <c r="G275" s="483">
        <v>6</v>
      </c>
      <c r="H275" s="433">
        <v>2232.42</v>
      </c>
      <c r="I275" s="435">
        <f t="shared" si="75"/>
        <v>0.85714285714285721</v>
      </c>
      <c r="J275" s="433">
        <f t="shared" si="79"/>
        <v>1</v>
      </c>
      <c r="K275" s="433">
        <f t="shared" si="77"/>
        <v>372.07</v>
      </c>
      <c r="L275" s="435">
        <f t="shared" si="73"/>
        <v>0.14285714285714288</v>
      </c>
      <c r="M275" s="420"/>
      <c r="N275" s="420"/>
      <c r="O275" s="420">
        <f t="shared" si="78"/>
        <v>372.07</v>
      </c>
      <c r="P275" s="420"/>
      <c r="R275" s="420"/>
    </row>
    <row r="276" spans="1:21" s="412" customFormat="1" ht="31.5" x14ac:dyDescent="0.2">
      <c r="A276" s="414" t="s">
        <v>744</v>
      </c>
      <c r="B276" s="432" t="s">
        <v>745</v>
      </c>
      <c r="C276" s="433" t="s">
        <v>23</v>
      </c>
      <c r="D276" s="433">
        <v>8</v>
      </c>
      <c r="E276" s="433">
        <v>77.739999999999995</v>
      </c>
      <c r="F276" s="490">
        <f t="shared" si="76"/>
        <v>621.91999999999996</v>
      </c>
      <c r="G276" s="483">
        <v>0</v>
      </c>
      <c r="H276" s="433">
        <v>0</v>
      </c>
      <c r="I276" s="435">
        <f t="shared" si="75"/>
        <v>0</v>
      </c>
      <c r="J276" s="433">
        <f t="shared" si="79"/>
        <v>8</v>
      </c>
      <c r="K276" s="433">
        <f t="shared" si="77"/>
        <v>621.91999999999996</v>
      </c>
      <c r="L276" s="435">
        <f t="shared" si="73"/>
        <v>1</v>
      </c>
      <c r="M276" s="420"/>
      <c r="N276" s="420"/>
      <c r="O276" s="420">
        <f t="shared" si="78"/>
        <v>621.91999999999996</v>
      </c>
      <c r="P276" s="420"/>
      <c r="R276" s="420"/>
    </row>
    <row r="277" spans="1:21" s="412" customFormat="1" ht="47.25" x14ac:dyDescent="0.2">
      <c r="A277" s="414" t="s">
        <v>746</v>
      </c>
      <c r="B277" s="432" t="s">
        <v>747</v>
      </c>
      <c r="C277" s="433" t="s">
        <v>23</v>
      </c>
      <c r="D277" s="433">
        <v>8</v>
      </c>
      <c r="E277" s="433">
        <v>133.35</v>
      </c>
      <c r="F277" s="490">
        <f t="shared" si="76"/>
        <v>1066.8</v>
      </c>
      <c r="G277" s="483">
        <v>8</v>
      </c>
      <c r="H277" s="433">
        <v>1066.8</v>
      </c>
      <c r="I277" s="435">
        <f t="shared" si="75"/>
        <v>1</v>
      </c>
      <c r="J277" s="433">
        <f t="shared" si="79"/>
        <v>0</v>
      </c>
      <c r="K277" s="433">
        <f t="shared" si="77"/>
        <v>0</v>
      </c>
      <c r="L277" s="435">
        <f t="shared" si="73"/>
        <v>0</v>
      </c>
      <c r="M277" s="420"/>
      <c r="N277" s="420"/>
      <c r="O277" s="420">
        <f t="shared" si="78"/>
        <v>0</v>
      </c>
      <c r="P277" s="420"/>
      <c r="R277" s="420"/>
    </row>
    <row r="278" spans="1:21" s="412" customFormat="1" ht="15.75" x14ac:dyDescent="0.2">
      <c r="A278" s="414" t="s">
        <v>748</v>
      </c>
      <c r="B278" s="432" t="s">
        <v>749</v>
      </c>
      <c r="C278" s="433" t="s">
        <v>23</v>
      </c>
      <c r="D278" s="433">
        <v>6</v>
      </c>
      <c r="E278" s="433">
        <v>203.52</v>
      </c>
      <c r="F278" s="490">
        <f t="shared" si="76"/>
        <v>1221.1199999999999</v>
      </c>
      <c r="G278" s="483">
        <v>6</v>
      </c>
      <c r="H278" s="433">
        <v>1221.1200000000001</v>
      </c>
      <c r="I278" s="435">
        <f t="shared" si="75"/>
        <v>1.0000000000000002</v>
      </c>
      <c r="J278" s="433">
        <f t="shared" si="79"/>
        <v>0</v>
      </c>
      <c r="K278" s="433">
        <f t="shared" si="77"/>
        <v>0</v>
      </c>
      <c r="L278" s="435">
        <f t="shared" si="73"/>
        <v>0</v>
      </c>
      <c r="M278" s="420"/>
      <c r="N278" s="420"/>
      <c r="O278" s="420">
        <f t="shared" si="78"/>
        <v>0</v>
      </c>
      <c r="P278" s="420"/>
      <c r="R278" s="420"/>
    </row>
    <row r="279" spans="1:21" s="412" customFormat="1" ht="31.5" x14ac:dyDescent="0.2">
      <c r="A279" s="414" t="s">
        <v>750</v>
      </c>
      <c r="B279" s="432" t="s">
        <v>751</v>
      </c>
      <c r="C279" s="433" t="s">
        <v>752</v>
      </c>
      <c r="D279" s="433">
        <v>2</v>
      </c>
      <c r="E279" s="433">
        <v>44.02</v>
      </c>
      <c r="F279" s="490">
        <f t="shared" si="76"/>
        <v>88.04</v>
      </c>
      <c r="G279" s="483">
        <v>2</v>
      </c>
      <c r="H279" s="433">
        <v>88.04</v>
      </c>
      <c r="I279" s="435">
        <f t="shared" si="75"/>
        <v>1</v>
      </c>
      <c r="J279" s="433">
        <f t="shared" si="79"/>
        <v>0</v>
      </c>
      <c r="K279" s="433">
        <f t="shared" si="77"/>
        <v>0</v>
      </c>
      <c r="L279" s="435">
        <f t="shared" si="73"/>
        <v>0</v>
      </c>
      <c r="M279" s="420"/>
      <c r="N279" s="420"/>
      <c r="O279" s="420">
        <f t="shared" si="78"/>
        <v>0</v>
      </c>
      <c r="P279" s="420"/>
      <c r="R279" s="420"/>
    </row>
    <row r="280" spans="1:21" s="412" customFormat="1" ht="31.5" x14ac:dyDescent="0.2">
      <c r="A280" s="414" t="s">
        <v>753</v>
      </c>
      <c r="B280" s="432" t="s">
        <v>754</v>
      </c>
      <c r="C280" s="433" t="s">
        <v>23</v>
      </c>
      <c r="D280" s="433">
        <v>6</v>
      </c>
      <c r="E280" s="433">
        <v>320.20999999999998</v>
      </c>
      <c r="F280" s="490">
        <f t="shared" si="76"/>
        <v>1921.26</v>
      </c>
      <c r="G280" s="483">
        <v>6</v>
      </c>
      <c r="H280" s="433">
        <v>1921.2599999999998</v>
      </c>
      <c r="I280" s="435">
        <f t="shared" si="75"/>
        <v>0.99999999999999989</v>
      </c>
      <c r="J280" s="433">
        <f t="shared" si="79"/>
        <v>0</v>
      </c>
      <c r="K280" s="433">
        <f t="shared" si="77"/>
        <v>0</v>
      </c>
      <c r="L280" s="435">
        <f t="shared" si="73"/>
        <v>0</v>
      </c>
      <c r="M280" s="420"/>
      <c r="N280" s="420"/>
      <c r="O280" s="420">
        <f t="shared" si="78"/>
        <v>0</v>
      </c>
      <c r="P280" s="420"/>
      <c r="R280" s="420"/>
    </row>
    <row r="281" spans="1:21" s="412" customFormat="1" ht="31.5" x14ac:dyDescent="0.2">
      <c r="A281" s="414" t="s">
        <v>755</v>
      </c>
      <c r="B281" s="432" t="s">
        <v>756</v>
      </c>
      <c r="C281" s="433" t="s">
        <v>23</v>
      </c>
      <c r="D281" s="433">
        <v>1</v>
      </c>
      <c r="E281" s="433">
        <v>7416.24</v>
      </c>
      <c r="F281" s="490">
        <f t="shared" si="76"/>
        <v>7416.24</v>
      </c>
      <c r="G281" s="483">
        <v>1</v>
      </c>
      <c r="H281" s="433">
        <v>7416.24</v>
      </c>
      <c r="I281" s="435">
        <f t="shared" si="75"/>
        <v>1</v>
      </c>
      <c r="J281" s="433">
        <f t="shared" si="79"/>
        <v>0</v>
      </c>
      <c r="K281" s="433">
        <f t="shared" si="77"/>
        <v>0</v>
      </c>
      <c r="L281" s="435">
        <f t="shared" si="73"/>
        <v>0</v>
      </c>
      <c r="M281" s="420"/>
      <c r="N281" s="420"/>
      <c r="O281" s="420">
        <f t="shared" si="78"/>
        <v>0</v>
      </c>
      <c r="P281" s="420"/>
      <c r="R281" s="420"/>
    </row>
    <row r="282" spans="1:21" s="412" customFormat="1" ht="47.25" x14ac:dyDescent="0.2">
      <c r="A282" s="414" t="s">
        <v>757</v>
      </c>
      <c r="B282" s="432" t="s">
        <v>758</v>
      </c>
      <c r="C282" s="433" t="s">
        <v>23</v>
      </c>
      <c r="D282" s="433">
        <v>1</v>
      </c>
      <c r="E282" s="433">
        <v>1075.5</v>
      </c>
      <c r="F282" s="490">
        <f t="shared" si="76"/>
        <v>1075.5</v>
      </c>
      <c r="G282" s="483">
        <v>1</v>
      </c>
      <c r="H282" s="433">
        <v>1075.5</v>
      </c>
      <c r="I282" s="435">
        <f t="shared" si="75"/>
        <v>1</v>
      </c>
      <c r="J282" s="433">
        <f t="shared" si="79"/>
        <v>0</v>
      </c>
      <c r="K282" s="433">
        <f t="shared" si="77"/>
        <v>0</v>
      </c>
      <c r="L282" s="435">
        <f t="shared" si="73"/>
        <v>0</v>
      </c>
      <c r="M282" s="420"/>
      <c r="N282" s="420"/>
      <c r="O282" s="420">
        <f t="shared" si="78"/>
        <v>0</v>
      </c>
      <c r="P282" s="420"/>
      <c r="R282" s="420"/>
    </row>
    <row r="283" spans="1:21" s="412" customFormat="1" ht="15.75" x14ac:dyDescent="0.2">
      <c r="A283" s="414" t="s">
        <v>759</v>
      </c>
      <c r="B283" s="432" t="s">
        <v>760</v>
      </c>
      <c r="C283" s="433" t="s">
        <v>23</v>
      </c>
      <c r="D283" s="433">
        <v>2</v>
      </c>
      <c r="E283" s="433">
        <v>298.85000000000002</v>
      </c>
      <c r="F283" s="490">
        <f t="shared" si="76"/>
        <v>597.70000000000005</v>
      </c>
      <c r="G283" s="483">
        <v>2</v>
      </c>
      <c r="H283" s="433">
        <v>597.70000000000005</v>
      </c>
      <c r="I283" s="435">
        <f t="shared" si="75"/>
        <v>1</v>
      </c>
      <c r="J283" s="433">
        <f t="shared" si="79"/>
        <v>0</v>
      </c>
      <c r="K283" s="433">
        <f t="shared" si="77"/>
        <v>0</v>
      </c>
      <c r="L283" s="435">
        <f t="shared" si="73"/>
        <v>0</v>
      </c>
      <c r="M283" s="420"/>
      <c r="N283" s="420"/>
      <c r="O283" s="420">
        <f t="shared" si="78"/>
        <v>0</v>
      </c>
      <c r="P283" s="420"/>
      <c r="R283" s="420"/>
    </row>
    <row r="284" spans="1:21" s="412" customFormat="1" ht="31.5" x14ac:dyDescent="0.2">
      <c r="A284" s="414" t="s">
        <v>761</v>
      </c>
      <c r="B284" s="432" t="s">
        <v>762</v>
      </c>
      <c r="C284" s="433" t="s">
        <v>23</v>
      </c>
      <c r="D284" s="433">
        <v>12</v>
      </c>
      <c r="E284" s="433">
        <v>198.15</v>
      </c>
      <c r="F284" s="490">
        <f t="shared" si="76"/>
        <v>2377.8000000000002</v>
      </c>
      <c r="G284" s="483">
        <v>12</v>
      </c>
      <c r="H284" s="433">
        <v>2377.8000000000002</v>
      </c>
      <c r="I284" s="435">
        <f t="shared" si="75"/>
        <v>1</v>
      </c>
      <c r="J284" s="433">
        <f t="shared" si="79"/>
        <v>0</v>
      </c>
      <c r="K284" s="433">
        <f t="shared" si="77"/>
        <v>0</v>
      </c>
      <c r="L284" s="435">
        <f t="shared" ref="L284:L315" si="80">IF(F284=0,0,K284/F284)</f>
        <v>0</v>
      </c>
      <c r="M284" s="420"/>
      <c r="N284" s="420"/>
      <c r="O284" s="420">
        <f t="shared" si="78"/>
        <v>0</v>
      </c>
      <c r="P284" s="420"/>
      <c r="R284" s="420"/>
    </row>
    <row r="285" spans="1:21" s="412" customFormat="1" ht="31.5" x14ac:dyDescent="0.2">
      <c r="A285" s="414" t="s">
        <v>763</v>
      </c>
      <c r="B285" s="432" t="s">
        <v>764</v>
      </c>
      <c r="C285" s="433" t="s">
        <v>23</v>
      </c>
      <c r="D285" s="433">
        <v>12</v>
      </c>
      <c r="E285" s="433">
        <v>149.43</v>
      </c>
      <c r="F285" s="490">
        <f t="shared" si="76"/>
        <v>1793.16</v>
      </c>
      <c r="G285" s="483">
        <v>12</v>
      </c>
      <c r="H285" s="433">
        <v>1793.16</v>
      </c>
      <c r="I285" s="435">
        <f t="shared" si="75"/>
        <v>1</v>
      </c>
      <c r="J285" s="433">
        <f t="shared" si="79"/>
        <v>0</v>
      </c>
      <c r="K285" s="433">
        <f t="shared" si="77"/>
        <v>0</v>
      </c>
      <c r="L285" s="435">
        <f t="shared" si="80"/>
        <v>0</v>
      </c>
      <c r="M285" s="420"/>
      <c r="N285" s="420"/>
      <c r="O285" s="420">
        <f t="shared" si="78"/>
        <v>0</v>
      </c>
      <c r="P285" s="420"/>
      <c r="R285" s="420"/>
    </row>
    <row r="286" spans="1:21" ht="15.75" x14ac:dyDescent="0.2">
      <c r="A286" s="436"/>
      <c r="B286" s="422" t="s">
        <v>298</v>
      </c>
      <c r="C286" s="424"/>
      <c r="D286" s="424"/>
      <c r="E286" s="424"/>
      <c r="F286" s="427">
        <f>SUM(F262:F285)</f>
        <v>73123.569999999992</v>
      </c>
      <c r="G286" s="428">
        <v>0</v>
      </c>
      <c r="H286" s="425">
        <v>64099.617900000005</v>
      </c>
      <c r="I286" s="429">
        <f t="shared" si="75"/>
        <v>0.87659311354738301</v>
      </c>
      <c r="J286" s="430">
        <f t="shared" si="79"/>
        <v>0</v>
      </c>
      <c r="K286" s="425">
        <f>SUM(K262:K285)</f>
        <v>9023.9499999999989</v>
      </c>
      <c r="L286" s="429">
        <f t="shared" si="80"/>
        <v>0.1234068577341068</v>
      </c>
      <c r="M286" s="420" t="e">
        <f>#REF!+#REF!</f>
        <v>#REF!</v>
      </c>
      <c r="N286" s="420">
        <f>K286</f>
        <v>9023.9499999999989</v>
      </c>
      <c r="O286" s="420">
        <f t="shared" si="78"/>
        <v>0</v>
      </c>
      <c r="P286" s="420"/>
      <c r="R286" s="420"/>
      <c r="U286" s="386">
        <v>0</v>
      </c>
    </row>
    <row r="287" spans="1:21" ht="15.75" x14ac:dyDescent="0.2">
      <c r="A287" s="436"/>
      <c r="B287" s="422"/>
      <c r="C287" s="424"/>
      <c r="D287" s="424"/>
      <c r="E287" s="424"/>
      <c r="F287" s="427"/>
      <c r="G287" s="428">
        <v>0</v>
      </c>
      <c r="H287" s="424"/>
      <c r="I287" s="429"/>
      <c r="J287" s="430">
        <f t="shared" si="79"/>
        <v>0</v>
      </c>
      <c r="K287" s="426"/>
      <c r="L287" s="431">
        <f t="shared" si="80"/>
        <v>0</v>
      </c>
      <c r="M287" s="420"/>
      <c r="N287" s="420"/>
      <c r="O287" s="420">
        <f t="shared" si="78"/>
        <v>0</v>
      </c>
      <c r="P287" s="420"/>
      <c r="R287" s="420"/>
      <c r="U287" s="386">
        <v>0</v>
      </c>
    </row>
    <row r="288" spans="1:21" ht="15.75" x14ac:dyDescent="0.2">
      <c r="A288" s="421" t="s">
        <v>765</v>
      </c>
      <c r="B288" s="422" t="s">
        <v>766</v>
      </c>
      <c r="C288" s="424">
        <v>0</v>
      </c>
      <c r="D288" s="424">
        <v>0</v>
      </c>
      <c r="E288" s="424">
        <v>0</v>
      </c>
      <c r="F288" s="491">
        <f t="shared" ref="F288" si="81">D288*E288</f>
        <v>0</v>
      </c>
      <c r="G288" s="428">
        <v>0</v>
      </c>
      <c r="H288" s="424"/>
      <c r="I288" s="431">
        <f t="shared" ref="I288:I297" si="82">IF(F288=0,0,H288/F288)</f>
        <v>0</v>
      </c>
      <c r="J288" s="430">
        <f t="shared" si="79"/>
        <v>0</v>
      </c>
      <c r="K288" s="424"/>
      <c r="L288" s="431">
        <f t="shared" si="80"/>
        <v>0</v>
      </c>
      <c r="M288" s="420"/>
      <c r="N288" s="420"/>
      <c r="O288" s="420">
        <f t="shared" si="78"/>
        <v>0</v>
      </c>
      <c r="P288" s="420"/>
      <c r="R288" s="420"/>
      <c r="U288" s="386">
        <v>0</v>
      </c>
    </row>
    <row r="289" spans="1:21" s="402" customFormat="1" ht="31.5" x14ac:dyDescent="0.2">
      <c r="A289" s="414" t="s">
        <v>767</v>
      </c>
      <c r="B289" s="432" t="s">
        <v>768</v>
      </c>
      <c r="C289" s="433" t="s">
        <v>23</v>
      </c>
      <c r="D289" s="433">
        <v>12</v>
      </c>
      <c r="E289" s="433">
        <v>425.65</v>
      </c>
      <c r="F289" s="490">
        <f t="shared" ref="F289:F296" si="83">ROUND((E289*D289),2)</f>
        <v>5107.8</v>
      </c>
      <c r="G289" s="483">
        <v>12</v>
      </c>
      <c r="H289" s="433">
        <v>5107.7999999999993</v>
      </c>
      <c r="I289" s="435">
        <f t="shared" si="82"/>
        <v>0.99999999999999978</v>
      </c>
      <c r="J289" s="433">
        <f t="shared" si="79"/>
        <v>0</v>
      </c>
      <c r="K289" s="433">
        <f t="shared" ref="K289:K296" si="84">ROUND((J289*E289),2)</f>
        <v>0</v>
      </c>
      <c r="L289" s="435">
        <f t="shared" si="80"/>
        <v>0</v>
      </c>
      <c r="M289" s="420"/>
      <c r="N289" s="420"/>
      <c r="O289" s="420">
        <f t="shared" si="78"/>
        <v>0</v>
      </c>
      <c r="P289" s="420"/>
      <c r="R289" s="420"/>
      <c r="U289" s="402">
        <v>0</v>
      </c>
    </row>
    <row r="290" spans="1:21" s="402" customFormat="1" ht="63" x14ac:dyDescent="0.2">
      <c r="A290" s="414" t="s">
        <v>769</v>
      </c>
      <c r="B290" s="432" t="s">
        <v>770</v>
      </c>
      <c r="C290" s="433" t="s">
        <v>23</v>
      </c>
      <c r="D290" s="433">
        <v>35</v>
      </c>
      <c r="E290" s="433">
        <v>305.27</v>
      </c>
      <c r="F290" s="490">
        <f t="shared" si="83"/>
        <v>10684.45</v>
      </c>
      <c r="G290" s="483">
        <v>35</v>
      </c>
      <c r="H290" s="433">
        <v>10684.449999999999</v>
      </c>
      <c r="I290" s="435">
        <f t="shared" si="82"/>
        <v>0.99999999999999978</v>
      </c>
      <c r="J290" s="433">
        <f t="shared" si="79"/>
        <v>0</v>
      </c>
      <c r="K290" s="433">
        <f t="shared" si="84"/>
        <v>0</v>
      </c>
      <c r="L290" s="435">
        <f t="shared" si="80"/>
        <v>0</v>
      </c>
      <c r="M290" s="420"/>
      <c r="N290" s="420"/>
      <c r="O290" s="420">
        <f t="shared" si="78"/>
        <v>0</v>
      </c>
      <c r="P290" s="420"/>
      <c r="R290" s="420"/>
    </row>
    <row r="291" spans="1:21" s="402" customFormat="1" ht="47.25" x14ac:dyDescent="0.2">
      <c r="A291" s="414" t="s">
        <v>771</v>
      </c>
      <c r="B291" s="432" t="s">
        <v>772</v>
      </c>
      <c r="C291" s="433" t="s">
        <v>23</v>
      </c>
      <c r="D291" s="433">
        <v>2</v>
      </c>
      <c r="E291" s="433">
        <v>132.16999999999999</v>
      </c>
      <c r="F291" s="490">
        <f t="shared" si="83"/>
        <v>264.33999999999997</v>
      </c>
      <c r="G291" s="483">
        <v>2</v>
      </c>
      <c r="H291" s="433">
        <v>264.33999999999997</v>
      </c>
      <c r="I291" s="435">
        <f t="shared" si="82"/>
        <v>1</v>
      </c>
      <c r="J291" s="433">
        <f t="shared" si="79"/>
        <v>0</v>
      </c>
      <c r="K291" s="433">
        <f t="shared" si="84"/>
        <v>0</v>
      </c>
      <c r="L291" s="435">
        <f t="shared" si="80"/>
        <v>0</v>
      </c>
      <c r="M291" s="420"/>
      <c r="N291" s="420"/>
      <c r="O291" s="420">
        <f t="shared" si="78"/>
        <v>0</v>
      </c>
      <c r="P291" s="420"/>
      <c r="R291" s="420"/>
    </row>
    <row r="292" spans="1:21" s="402" customFormat="1" ht="47.25" x14ac:dyDescent="0.2">
      <c r="A292" s="414" t="s">
        <v>773</v>
      </c>
      <c r="B292" s="432" t="s">
        <v>774</v>
      </c>
      <c r="C292" s="433" t="s">
        <v>23</v>
      </c>
      <c r="D292" s="433">
        <v>4</v>
      </c>
      <c r="E292" s="433">
        <v>70.48</v>
      </c>
      <c r="F292" s="490">
        <f t="shared" si="83"/>
        <v>281.92</v>
      </c>
      <c r="G292" s="483">
        <v>4</v>
      </c>
      <c r="H292" s="433">
        <v>281.92</v>
      </c>
      <c r="I292" s="435">
        <f t="shared" si="82"/>
        <v>1</v>
      </c>
      <c r="J292" s="433">
        <f t="shared" si="79"/>
        <v>0</v>
      </c>
      <c r="K292" s="433">
        <f t="shared" si="84"/>
        <v>0</v>
      </c>
      <c r="L292" s="435">
        <f t="shared" si="80"/>
        <v>0</v>
      </c>
      <c r="M292" s="420"/>
      <c r="N292" s="420"/>
      <c r="O292" s="420">
        <f t="shared" si="78"/>
        <v>0</v>
      </c>
      <c r="P292" s="420"/>
      <c r="R292" s="420"/>
    </row>
    <row r="293" spans="1:21" s="402" customFormat="1" ht="63" x14ac:dyDescent="0.2">
      <c r="A293" s="414">
        <v>180301</v>
      </c>
      <c r="B293" s="432" t="s">
        <v>775</v>
      </c>
      <c r="C293" s="433" t="s">
        <v>23</v>
      </c>
      <c r="D293" s="433">
        <v>15</v>
      </c>
      <c r="E293" s="433">
        <v>1880.4</v>
      </c>
      <c r="F293" s="490">
        <f t="shared" si="83"/>
        <v>28206</v>
      </c>
      <c r="G293" s="483">
        <v>14</v>
      </c>
      <c r="H293" s="433">
        <v>26325.600000000002</v>
      </c>
      <c r="I293" s="435">
        <f t="shared" si="82"/>
        <v>0.93333333333333346</v>
      </c>
      <c r="J293" s="433">
        <f t="shared" si="79"/>
        <v>1</v>
      </c>
      <c r="K293" s="433">
        <f t="shared" si="84"/>
        <v>1880.4</v>
      </c>
      <c r="L293" s="435">
        <f t="shared" si="80"/>
        <v>6.6666666666666666E-2</v>
      </c>
      <c r="M293" s="420"/>
      <c r="N293" s="420">
        <f>H293+H294+H619</f>
        <v>50607.57</v>
      </c>
      <c r="O293" s="420">
        <f t="shared" si="78"/>
        <v>-48727.17</v>
      </c>
      <c r="P293" s="420"/>
      <c r="R293" s="420"/>
    </row>
    <row r="294" spans="1:21" s="402" customFormat="1" ht="63" x14ac:dyDescent="0.2">
      <c r="A294" s="414">
        <v>180302</v>
      </c>
      <c r="B294" s="432" t="s">
        <v>776</v>
      </c>
      <c r="C294" s="433" t="s">
        <v>23</v>
      </c>
      <c r="D294" s="433">
        <v>15</v>
      </c>
      <c r="E294" s="433">
        <v>2705.65</v>
      </c>
      <c r="F294" s="490">
        <f t="shared" si="83"/>
        <v>40584.75</v>
      </c>
      <c r="G294" s="483">
        <v>7</v>
      </c>
      <c r="H294" s="433">
        <v>18939.55</v>
      </c>
      <c r="I294" s="435">
        <f t="shared" si="82"/>
        <v>0.46666666666666667</v>
      </c>
      <c r="J294" s="433">
        <f t="shared" si="79"/>
        <v>8</v>
      </c>
      <c r="K294" s="433">
        <f t="shared" si="84"/>
        <v>21645.200000000001</v>
      </c>
      <c r="L294" s="435">
        <f t="shared" si="80"/>
        <v>0.53333333333333333</v>
      </c>
      <c r="M294" s="420"/>
      <c r="N294" s="420">
        <f>K294</f>
        <v>21645.200000000001</v>
      </c>
      <c r="O294" s="420">
        <f t="shared" si="78"/>
        <v>0</v>
      </c>
      <c r="P294" s="420"/>
      <c r="R294" s="420"/>
    </row>
    <row r="295" spans="1:21" s="402" customFormat="1" ht="15.75" x14ac:dyDescent="0.2">
      <c r="A295" s="414" t="s">
        <v>777</v>
      </c>
      <c r="B295" s="432" t="s">
        <v>778</v>
      </c>
      <c r="C295" s="433" t="s">
        <v>23</v>
      </c>
      <c r="D295" s="433">
        <v>2</v>
      </c>
      <c r="E295" s="433">
        <v>114.07</v>
      </c>
      <c r="F295" s="490">
        <f t="shared" si="83"/>
        <v>228.14</v>
      </c>
      <c r="G295" s="483">
        <v>2</v>
      </c>
      <c r="H295" s="433">
        <v>228.14</v>
      </c>
      <c r="I295" s="435">
        <f t="shared" si="82"/>
        <v>1</v>
      </c>
      <c r="J295" s="433">
        <f t="shared" si="79"/>
        <v>0</v>
      </c>
      <c r="K295" s="433">
        <f t="shared" si="84"/>
        <v>0</v>
      </c>
      <c r="L295" s="435">
        <f t="shared" si="80"/>
        <v>0</v>
      </c>
      <c r="M295" s="420"/>
      <c r="N295" s="420"/>
      <c r="O295" s="420">
        <f t="shared" si="78"/>
        <v>0</v>
      </c>
      <c r="P295" s="420"/>
      <c r="R295" s="420"/>
    </row>
    <row r="296" spans="1:21" s="402" customFormat="1" ht="31.5" x14ac:dyDescent="0.2">
      <c r="A296" s="414" t="s">
        <v>779</v>
      </c>
      <c r="B296" s="432" t="s">
        <v>780</v>
      </c>
      <c r="C296" s="433" t="s">
        <v>752</v>
      </c>
      <c r="D296" s="433">
        <v>2</v>
      </c>
      <c r="E296" s="433">
        <v>461.92</v>
      </c>
      <c r="F296" s="490">
        <f t="shared" si="83"/>
        <v>923.84</v>
      </c>
      <c r="G296" s="483">
        <v>2</v>
      </c>
      <c r="H296" s="433">
        <v>923.84</v>
      </c>
      <c r="I296" s="435">
        <f t="shared" si="82"/>
        <v>1</v>
      </c>
      <c r="J296" s="433">
        <f t="shared" si="79"/>
        <v>0</v>
      </c>
      <c r="K296" s="433">
        <f t="shared" si="84"/>
        <v>0</v>
      </c>
      <c r="L296" s="435">
        <f t="shared" si="80"/>
        <v>0</v>
      </c>
      <c r="M296" s="420"/>
      <c r="N296" s="420"/>
      <c r="O296" s="420">
        <f t="shared" si="78"/>
        <v>0</v>
      </c>
      <c r="P296" s="420"/>
      <c r="R296" s="420"/>
      <c r="U296" s="402">
        <v>0</v>
      </c>
    </row>
    <row r="297" spans="1:21" ht="15.75" x14ac:dyDescent="0.2">
      <c r="A297" s="436"/>
      <c r="B297" s="422" t="s">
        <v>299</v>
      </c>
      <c r="C297" s="424"/>
      <c r="D297" s="424"/>
      <c r="E297" s="424"/>
      <c r="F297" s="427">
        <f>SUM(F289:F296)</f>
        <v>86281.24</v>
      </c>
      <c r="G297" s="428">
        <v>0</v>
      </c>
      <c r="H297" s="437">
        <v>62755.64</v>
      </c>
      <c r="I297" s="429">
        <f t="shared" si="82"/>
        <v>0.72733817919167587</v>
      </c>
      <c r="J297" s="430">
        <f t="shared" si="79"/>
        <v>0</v>
      </c>
      <c r="K297" s="425">
        <f>SUM(K289:K296)</f>
        <v>23525.600000000002</v>
      </c>
      <c r="L297" s="429">
        <f t="shared" si="80"/>
        <v>0.27266182080832402</v>
      </c>
      <c r="M297" s="420" t="e">
        <f>#REF!+#REF!</f>
        <v>#REF!</v>
      </c>
      <c r="N297" s="420"/>
      <c r="O297" s="420">
        <f t="shared" si="78"/>
        <v>23525.600000000002</v>
      </c>
      <c r="P297" s="420"/>
      <c r="R297" s="420"/>
      <c r="U297" s="386">
        <v>0</v>
      </c>
    </row>
    <row r="298" spans="1:21" ht="15.75" x14ac:dyDescent="0.2">
      <c r="A298" s="436"/>
      <c r="B298" s="422"/>
      <c r="C298" s="424"/>
      <c r="D298" s="424"/>
      <c r="E298" s="424"/>
      <c r="F298" s="427"/>
      <c r="G298" s="428">
        <v>0</v>
      </c>
      <c r="H298" s="424"/>
      <c r="I298" s="429"/>
      <c r="J298" s="430">
        <f t="shared" si="79"/>
        <v>0</v>
      </c>
      <c r="K298" s="426"/>
      <c r="L298" s="431">
        <f t="shared" si="80"/>
        <v>0</v>
      </c>
      <c r="M298" s="420"/>
      <c r="N298" s="420"/>
      <c r="O298" s="420">
        <f t="shared" si="78"/>
        <v>0</v>
      </c>
      <c r="P298" s="420"/>
      <c r="R298" s="420"/>
      <c r="U298" s="386">
        <v>0</v>
      </c>
    </row>
    <row r="299" spans="1:21" ht="15.75" x14ac:dyDescent="0.2">
      <c r="A299" s="421" t="s">
        <v>781</v>
      </c>
      <c r="B299" s="422" t="s">
        <v>782</v>
      </c>
      <c r="C299" s="424">
        <v>0</v>
      </c>
      <c r="D299" s="424">
        <v>0</v>
      </c>
      <c r="E299" s="424">
        <v>0</v>
      </c>
      <c r="F299" s="491">
        <f t="shared" ref="F299" si="85">D299*E299</f>
        <v>0</v>
      </c>
      <c r="G299" s="428">
        <v>0</v>
      </c>
      <c r="H299" s="424"/>
      <c r="I299" s="431">
        <f t="shared" ref="I299:I305" si="86">IF(F299=0,0,H299/F299)</f>
        <v>0</v>
      </c>
      <c r="J299" s="430">
        <f t="shared" si="79"/>
        <v>0</v>
      </c>
      <c r="K299" s="424"/>
      <c r="L299" s="431">
        <f t="shared" si="80"/>
        <v>0</v>
      </c>
      <c r="M299" s="420"/>
      <c r="N299" s="420"/>
      <c r="O299" s="420">
        <f t="shared" si="78"/>
        <v>0</v>
      </c>
      <c r="P299" s="420"/>
      <c r="R299" s="420"/>
      <c r="U299" s="386">
        <v>0</v>
      </c>
    </row>
    <row r="300" spans="1:21" s="402" customFormat="1" ht="47.25" x14ac:dyDescent="0.2">
      <c r="A300" s="414" t="s">
        <v>783</v>
      </c>
      <c r="B300" s="432" t="s">
        <v>784</v>
      </c>
      <c r="C300" s="433" t="s">
        <v>35</v>
      </c>
      <c r="D300" s="433">
        <v>435.72</v>
      </c>
      <c r="E300" s="433">
        <v>15.27</v>
      </c>
      <c r="F300" s="490">
        <f t="shared" ref="F300:F305" si="87">ROUND((E300*D300),2)</f>
        <v>6653.44</v>
      </c>
      <c r="G300" s="483">
        <v>435.72</v>
      </c>
      <c r="H300" s="433">
        <v>6653.4444000000003</v>
      </c>
      <c r="I300" s="435">
        <f t="shared" si="86"/>
        <v>1.0000006613120431</v>
      </c>
      <c r="J300" s="433">
        <f t="shared" si="79"/>
        <v>0</v>
      </c>
      <c r="K300" s="433">
        <f t="shared" ref="K300:K305" si="88">ROUND((J300*E300),2)</f>
        <v>0</v>
      </c>
      <c r="L300" s="435">
        <f t="shared" si="80"/>
        <v>0</v>
      </c>
      <c r="M300" s="420"/>
      <c r="N300" s="420"/>
      <c r="O300" s="420">
        <f t="shared" si="78"/>
        <v>0</v>
      </c>
      <c r="P300" s="420"/>
      <c r="R300" s="420"/>
      <c r="U300" s="402">
        <v>0</v>
      </c>
    </row>
    <row r="301" spans="1:21" s="402" customFormat="1" ht="47.25" x14ac:dyDescent="0.2">
      <c r="A301" s="414" t="s">
        <v>785</v>
      </c>
      <c r="B301" s="432" t="s">
        <v>786</v>
      </c>
      <c r="C301" s="433" t="s">
        <v>35</v>
      </c>
      <c r="D301" s="433">
        <v>687.92</v>
      </c>
      <c r="E301" s="433">
        <v>23.93</v>
      </c>
      <c r="F301" s="490">
        <f t="shared" si="87"/>
        <v>16461.93</v>
      </c>
      <c r="G301" s="483">
        <v>687.92</v>
      </c>
      <c r="H301" s="433">
        <v>16461.925599999999</v>
      </c>
      <c r="I301" s="435">
        <f t="shared" si="86"/>
        <v>0.99999973271663767</v>
      </c>
      <c r="J301" s="433">
        <f t="shared" ref="J301:J329" si="89">D301-G301</f>
        <v>0</v>
      </c>
      <c r="K301" s="433">
        <f t="shared" si="88"/>
        <v>0</v>
      </c>
      <c r="L301" s="435">
        <f t="shared" si="80"/>
        <v>0</v>
      </c>
      <c r="M301" s="420"/>
      <c r="N301" s="420"/>
      <c r="O301" s="420">
        <f t="shared" si="78"/>
        <v>0</v>
      </c>
      <c r="P301" s="420"/>
      <c r="R301" s="420"/>
      <c r="U301" s="402">
        <v>0</v>
      </c>
    </row>
    <row r="302" spans="1:21" s="402" customFormat="1" ht="31.5" x14ac:dyDescent="0.2">
      <c r="A302" s="414" t="s">
        <v>787</v>
      </c>
      <c r="B302" s="432" t="s">
        <v>788</v>
      </c>
      <c r="C302" s="433" t="s">
        <v>35</v>
      </c>
      <c r="D302" s="433">
        <v>1330.94</v>
      </c>
      <c r="E302" s="433">
        <v>6.4</v>
      </c>
      <c r="F302" s="490">
        <f t="shared" si="87"/>
        <v>8518.02</v>
      </c>
      <c r="G302" s="483">
        <v>1330.9399999999998</v>
      </c>
      <c r="H302" s="433">
        <v>8518.0160000000014</v>
      </c>
      <c r="I302" s="435">
        <f t="shared" si="86"/>
        <v>0.99999953040730138</v>
      </c>
      <c r="J302" s="433">
        <f t="shared" si="89"/>
        <v>0</v>
      </c>
      <c r="K302" s="433">
        <f t="shared" si="88"/>
        <v>0</v>
      </c>
      <c r="L302" s="435">
        <f t="shared" si="80"/>
        <v>0</v>
      </c>
      <c r="M302" s="420"/>
      <c r="N302" s="420"/>
      <c r="O302" s="420">
        <f t="shared" si="78"/>
        <v>0</v>
      </c>
      <c r="P302" s="420"/>
      <c r="R302" s="420"/>
      <c r="U302" s="402">
        <v>1252.8000000000002</v>
      </c>
    </row>
    <row r="303" spans="1:21" s="402" customFormat="1" ht="47.25" x14ac:dyDescent="0.2">
      <c r="A303" s="414" t="s">
        <v>789</v>
      </c>
      <c r="B303" s="432" t="s">
        <v>790</v>
      </c>
      <c r="C303" s="433" t="s">
        <v>35</v>
      </c>
      <c r="D303" s="433">
        <v>47.25</v>
      </c>
      <c r="E303" s="433">
        <v>23.98</v>
      </c>
      <c r="F303" s="490">
        <f t="shared" si="87"/>
        <v>1133.06</v>
      </c>
      <c r="G303" s="483">
        <v>47.25</v>
      </c>
      <c r="H303" s="433">
        <v>1133.0550000000001</v>
      </c>
      <c r="I303" s="435">
        <f t="shared" si="86"/>
        <v>0.99999558717102366</v>
      </c>
      <c r="J303" s="433">
        <f t="shared" si="89"/>
        <v>0</v>
      </c>
      <c r="K303" s="433">
        <f t="shared" si="88"/>
        <v>0</v>
      </c>
      <c r="L303" s="435">
        <f t="shared" si="80"/>
        <v>0</v>
      </c>
      <c r="M303" s="420"/>
      <c r="N303" s="420"/>
      <c r="O303" s="420">
        <f t="shared" si="78"/>
        <v>0</v>
      </c>
      <c r="P303" s="420"/>
      <c r="R303" s="420"/>
      <c r="U303" s="402">
        <v>0</v>
      </c>
    </row>
    <row r="304" spans="1:21" s="413" customFormat="1" ht="47.25" x14ac:dyDescent="0.2">
      <c r="A304" s="414" t="s">
        <v>791</v>
      </c>
      <c r="B304" s="432" t="s">
        <v>792</v>
      </c>
      <c r="C304" s="433" t="s">
        <v>35</v>
      </c>
      <c r="D304" s="433">
        <v>47.25</v>
      </c>
      <c r="E304" s="433">
        <v>32.97</v>
      </c>
      <c r="F304" s="490">
        <f t="shared" si="87"/>
        <v>1557.83</v>
      </c>
      <c r="G304" s="483">
        <v>47.25</v>
      </c>
      <c r="H304" s="433">
        <v>1557.8325</v>
      </c>
      <c r="I304" s="435">
        <f t="shared" si="86"/>
        <v>1.0000016047964155</v>
      </c>
      <c r="J304" s="433">
        <f t="shared" si="89"/>
        <v>0</v>
      </c>
      <c r="K304" s="433">
        <f t="shared" si="88"/>
        <v>0</v>
      </c>
      <c r="L304" s="435">
        <f t="shared" si="80"/>
        <v>0</v>
      </c>
      <c r="M304" s="420"/>
      <c r="N304" s="420"/>
      <c r="O304" s="420">
        <f t="shared" si="78"/>
        <v>0</v>
      </c>
      <c r="P304" s="420"/>
      <c r="R304" s="420"/>
      <c r="U304" s="413">
        <v>0</v>
      </c>
    </row>
    <row r="305" spans="1:21" s="413" customFormat="1" ht="47.25" x14ac:dyDescent="0.2">
      <c r="A305" s="414" t="s">
        <v>793</v>
      </c>
      <c r="B305" s="432" t="s">
        <v>794</v>
      </c>
      <c r="C305" s="433" t="s">
        <v>35</v>
      </c>
      <c r="D305" s="433">
        <v>17.62</v>
      </c>
      <c r="E305" s="433">
        <v>29.19</v>
      </c>
      <c r="F305" s="490">
        <f t="shared" si="87"/>
        <v>514.33000000000004</v>
      </c>
      <c r="G305" s="483">
        <v>17.62</v>
      </c>
      <c r="H305" s="433">
        <v>514.32780000000002</v>
      </c>
      <c r="I305" s="435">
        <f t="shared" si="86"/>
        <v>0.99999572259055469</v>
      </c>
      <c r="J305" s="433">
        <f t="shared" si="89"/>
        <v>0</v>
      </c>
      <c r="K305" s="433">
        <f t="shared" si="88"/>
        <v>0</v>
      </c>
      <c r="L305" s="435">
        <f t="shared" si="80"/>
        <v>0</v>
      </c>
      <c r="M305" s="420"/>
      <c r="N305" s="420"/>
      <c r="O305" s="420">
        <f t="shared" si="78"/>
        <v>0</v>
      </c>
      <c r="P305" s="420"/>
      <c r="R305" s="420"/>
      <c r="U305" s="413">
        <v>0</v>
      </c>
    </row>
    <row r="306" spans="1:21" ht="15.75" x14ac:dyDescent="0.2">
      <c r="A306" s="436"/>
      <c r="B306" s="422" t="s">
        <v>288</v>
      </c>
      <c r="C306" s="424"/>
      <c r="D306" s="424"/>
      <c r="E306" s="424"/>
      <c r="F306" s="427">
        <f>SUM(F300:F305)</f>
        <v>34838.61</v>
      </c>
      <c r="G306" s="428">
        <v>0</v>
      </c>
      <c r="H306" s="425">
        <v>34838.601299999995</v>
      </c>
      <c r="I306" s="429">
        <f>IF($F$306=0,0,H306/$F$306)</f>
        <v>0.99999975027706312</v>
      </c>
      <c r="J306" s="430">
        <f t="shared" si="89"/>
        <v>0</v>
      </c>
      <c r="K306" s="425">
        <f>SUM(K300:K305)</f>
        <v>0</v>
      </c>
      <c r="L306" s="429">
        <f t="shared" si="80"/>
        <v>0</v>
      </c>
      <c r="M306" s="420" t="e">
        <f>#REF!+#REF!</f>
        <v>#REF!</v>
      </c>
      <c r="N306" s="420">
        <f>K306</f>
        <v>0</v>
      </c>
      <c r="O306" s="420">
        <f t="shared" si="78"/>
        <v>0</v>
      </c>
      <c r="P306" s="420"/>
      <c r="R306" s="420"/>
      <c r="U306" s="386">
        <v>1252.8000000000002</v>
      </c>
    </row>
    <row r="307" spans="1:21" ht="15.75" x14ac:dyDescent="0.2">
      <c r="A307" s="436"/>
      <c r="B307" s="422"/>
      <c r="C307" s="424"/>
      <c r="D307" s="424"/>
      <c r="E307" s="424"/>
      <c r="F307" s="427"/>
      <c r="G307" s="428">
        <v>0</v>
      </c>
      <c r="H307" s="424"/>
      <c r="I307" s="429"/>
      <c r="J307" s="430">
        <f t="shared" si="89"/>
        <v>0</v>
      </c>
      <c r="K307" s="426"/>
      <c r="L307" s="431">
        <f t="shared" si="80"/>
        <v>0</v>
      </c>
      <c r="M307" s="420"/>
      <c r="N307" s="420"/>
      <c r="O307" s="420">
        <f t="shared" si="78"/>
        <v>0</v>
      </c>
      <c r="P307" s="420"/>
      <c r="R307" s="420"/>
      <c r="U307" s="386">
        <v>0</v>
      </c>
    </row>
    <row r="308" spans="1:21" ht="15.75" x14ac:dyDescent="0.2">
      <c r="A308" s="421" t="s">
        <v>795</v>
      </c>
      <c r="B308" s="422" t="s">
        <v>796</v>
      </c>
      <c r="C308" s="424">
        <v>0</v>
      </c>
      <c r="D308" s="424">
        <v>0</v>
      </c>
      <c r="E308" s="424">
        <v>0</v>
      </c>
      <c r="F308" s="491">
        <f t="shared" ref="F308" si="90">D308*E308</f>
        <v>0</v>
      </c>
      <c r="G308" s="428">
        <v>0</v>
      </c>
      <c r="H308" s="424"/>
      <c r="I308" s="431">
        <f t="shared" ref="I308:I339" si="91">IF(F308=0,0,H308/F308)</f>
        <v>0</v>
      </c>
      <c r="J308" s="430">
        <f t="shared" si="89"/>
        <v>0</v>
      </c>
      <c r="K308" s="424"/>
      <c r="L308" s="431">
        <f t="shared" si="80"/>
        <v>0</v>
      </c>
      <c r="M308" s="420"/>
      <c r="N308" s="420"/>
      <c r="O308" s="420">
        <f t="shared" si="78"/>
        <v>0</v>
      </c>
      <c r="P308" s="420"/>
      <c r="R308" s="420"/>
      <c r="U308" s="386">
        <v>0</v>
      </c>
    </row>
    <row r="309" spans="1:21" s="402" customFormat="1" ht="31.5" x14ac:dyDescent="0.2">
      <c r="A309" s="414">
        <v>200101</v>
      </c>
      <c r="B309" s="432" t="s">
        <v>797</v>
      </c>
      <c r="C309" s="433" t="s">
        <v>35</v>
      </c>
      <c r="D309" s="433">
        <v>91.06</v>
      </c>
      <c r="E309" s="433">
        <v>17.010000000000002</v>
      </c>
      <c r="F309" s="490">
        <f t="shared" ref="F309:F368" si="92">ROUND((E309*D309),2)</f>
        <v>1548.93</v>
      </c>
      <c r="G309" s="483">
        <v>91.06</v>
      </c>
      <c r="H309" s="433">
        <v>1548.9306000000001</v>
      </c>
      <c r="I309" s="435">
        <f t="shared" si="91"/>
        <v>1.0000003873641805</v>
      </c>
      <c r="J309" s="433">
        <f t="shared" si="89"/>
        <v>0</v>
      </c>
      <c r="K309" s="433">
        <f t="shared" ref="K309:K329" si="93">ROUND((J309*E309),2)</f>
        <v>0</v>
      </c>
      <c r="L309" s="435">
        <f t="shared" si="80"/>
        <v>0</v>
      </c>
      <c r="M309" s="420"/>
      <c r="N309" s="420"/>
      <c r="O309" s="420">
        <f t="shared" si="78"/>
        <v>0</v>
      </c>
      <c r="P309" s="420"/>
      <c r="R309" s="420"/>
      <c r="U309" s="402">
        <v>0</v>
      </c>
    </row>
    <row r="310" spans="1:21" s="402" customFormat="1" ht="47.25" x14ac:dyDescent="0.2">
      <c r="A310" s="414">
        <v>200102</v>
      </c>
      <c r="B310" s="432" t="s">
        <v>798</v>
      </c>
      <c r="C310" s="433" t="s">
        <v>26</v>
      </c>
      <c r="D310" s="433">
        <v>72</v>
      </c>
      <c r="E310" s="433">
        <v>64.05</v>
      </c>
      <c r="F310" s="490">
        <f t="shared" si="92"/>
        <v>4611.6000000000004</v>
      </c>
      <c r="G310" s="483">
        <v>72</v>
      </c>
      <c r="H310" s="433">
        <v>4611.5999999999995</v>
      </c>
      <c r="I310" s="435">
        <f t="shared" si="91"/>
        <v>0.99999999999999978</v>
      </c>
      <c r="J310" s="433">
        <f t="shared" si="89"/>
        <v>0</v>
      </c>
      <c r="K310" s="433">
        <f t="shared" si="93"/>
        <v>0</v>
      </c>
      <c r="L310" s="435">
        <f t="shared" si="80"/>
        <v>0</v>
      </c>
      <c r="M310" s="420"/>
      <c r="N310" s="420"/>
      <c r="O310" s="420">
        <f t="shared" si="78"/>
        <v>0</v>
      </c>
      <c r="P310" s="420"/>
      <c r="R310" s="420"/>
      <c r="U310" s="402">
        <v>0</v>
      </c>
    </row>
    <row r="311" spans="1:21" s="402" customFormat="1" ht="47.25" x14ac:dyDescent="0.2">
      <c r="A311" s="414">
        <v>200103</v>
      </c>
      <c r="B311" s="432" t="s">
        <v>799</v>
      </c>
      <c r="C311" s="433" t="s">
        <v>35</v>
      </c>
      <c r="D311" s="433">
        <v>91</v>
      </c>
      <c r="E311" s="433">
        <v>155.83000000000001</v>
      </c>
      <c r="F311" s="490">
        <f t="shared" si="92"/>
        <v>14180.53</v>
      </c>
      <c r="G311" s="483">
        <v>91</v>
      </c>
      <c r="H311" s="433">
        <v>14180.53</v>
      </c>
      <c r="I311" s="435">
        <f t="shared" si="91"/>
        <v>1</v>
      </c>
      <c r="J311" s="433">
        <f t="shared" si="89"/>
        <v>0</v>
      </c>
      <c r="K311" s="433">
        <f t="shared" si="93"/>
        <v>0</v>
      </c>
      <c r="L311" s="435">
        <f t="shared" si="80"/>
        <v>0</v>
      </c>
      <c r="M311" s="420"/>
      <c r="N311" s="420"/>
      <c r="O311" s="420">
        <f t="shared" si="78"/>
        <v>0</v>
      </c>
      <c r="P311" s="420"/>
      <c r="R311" s="420"/>
      <c r="U311" s="402">
        <v>0</v>
      </c>
    </row>
    <row r="312" spans="1:21" s="402" customFormat="1" ht="63" x14ac:dyDescent="0.2">
      <c r="A312" s="414">
        <v>200104</v>
      </c>
      <c r="B312" s="432" t="s">
        <v>800</v>
      </c>
      <c r="C312" s="433" t="s">
        <v>35</v>
      </c>
      <c r="D312" s="433">
        <v>150</v>
      </c>
      <c r="E312" s="433">
        <v>169.14</v>
      </c>
      <c r="F312" s="490">
        <f t="shared" si="92"/>
        <v>25371</v>
      </c>
      <c r="G312" s="483">
        <v>150</v>
      </c>
      <c r="H312" s="433">
        <v>25370.999999999996</v>
      </c>
      <c r="I312" s="435">
        <f t="shared" si="91"/>
        <v>0.99999999999999989</v>
      </c>
      <c r="J312" s="433">
        <f t="shared" si="89"/>
        <v>0</v>
      </c>
      <c r="K312" s="433">
        <f t="shared" si="93"/>
        <v>0</v>
      </c>
      <c r="L312" s="435">
        <f t="shared" si="80"/>
        <v>0</v>
      </c>
      <c r="M312" s="420"/>
      <c r="N312" s="420"/>
      <c r="O312" s="420">
        <f t="shared" si="78"/>
        <v>0</v>
      </c>
      <c r="P312" s="420"/>
      <c r="R312" s="420"/>
      <c r="U312" s="402">
        <v>0</v>
      </c>
    </row>
    <row r="313" spans="1:21" s="402" customFormat="1" ht="63" x14ac:dyDescent="0.2">
      <c r="A313" s="414">
        <v>200105</v>
      </c>
      <c r="B313" s="432" t="s">
        <v>801</v>
      </c>
      <c r="C313" s="433" t="s">
        <v>26</v>
      </c>
      <c r="D313" s="433">
        <v>82</v>
      </c>
      <c r="E313" s="433">
        <v>30.08</v>
      </c>
      <c r="F313" s="490">
        <f t="shared" si="92"/>
        <v>2466.56</v>
      </c>
      <c r="G313" s="483">
        <v>0</v>
      </c>
      <c r="H313" s="433">
        <v>0</v>
      </c>
      <c r="I313" s="435">
        <f t="shared" si="91"/>
        <v>0</v>
      </c>
      <c r="J313" s="433">
        <f t="shared" si="89"/>
        <v>82</v>
      </c>
      <c r="K313" s="433">
        <f t="shared" si="93"/>
        <v>2466.56</v>
      </c>
      <c r="L313" s="435">
        <f t="shared" si="80"/>
        <v>1</v>
      </c>
      <c r="M313" s="420"/>
      <c r="N313" s="420"/>
      <c r="O313" s="420">
        <f t="shared" si="78"/>
        <v>2466.56</v>
      </c>
      <c r="P313" s="420"/>
      <c r="R313" s="420"/>
    </row>
    <row r="314" spans="1:21" s="402" customFormat="1" ht="63" x14ac:dyDescent="0.2">
      <c r="A314" s="414">
        <v>200106</v>
      </c>
      <c r="B314" s="432" t="s">
        <v>802</v>
      </c>
      <c r="C314" s="433" t="s">
        <v>26</v>
      </c>
      <c r="D314" s="433">
        <v>147.6</v>
      </c>
      <c r="E314" s="433">
        <v>32.06</v>
      </c>
      <c r="F314" s="490">
        <f t="shared" si="92"/>
        <v>4732.0600000000004</v>
      </c>
      <c r="G314" s="483">
        <v>0</v>
      </c>
      <c r="H314" s="433">
        <v>0</v>
      </c>
      <c r="I314" s="435">
        <f t="shared" si="91"/>
        <v>0</v>
      </c>
      <c r="J314" s="433">
        <f t="shared" si="89"/>
        <v>147.6</v>
      </c>
      <c r="K314" s="433">
        <f t="shared" si="93"/>
        <v>4732.0600000000004</v>
      </c>
      <c r="L314" s="435">
        <f t="shared" si="80"/>
        <v>1</v>
      </c>
      <c r="M314" s="420"/>
      <c r="N314" s="420"/>
      <c r="O314" s="420">
        <f t="shared" si="78"/>
        <v>4732.0600000000004</v>
      </c>
      <c r="P314" s="420"/>
      <c r="R314" s="420"/>
    </row>
    <row r="315" spans="1:21" s="402" customFormat="1" ht="63" x14ac:dyDescent="0.2">
      <c r="A315" s="414">
        <v>200107</v>
      </c>
      <c r="B315" s="432" t="s">
        <v>803</v>
      </c>
      <c r="C315" s="433" t="s">
        <v>35</v>
      </c>
      <c r="D315" s="433">
        <v>4.3499999999999996</v>
      </c>
      <c r="E315" s="433">
        <v>263.24</v>
      </c>
      <c r="F315" s="490">
        <f t="shared" si="92"/>
        <v>1145.0899999999999</v>
      </c>
      <c r="G315" s="483">
        <v>4.3499999999999996</v>
      </c>
      <c r="H315" s="433">
        <v>1145.0940000000001</v>
      </c>
      <c r="I315" s="435">
        <f t="shared" si="91"/>
        <v>1.0000034931752091</v>
      </c>
      <c r="J315" s="433">
        <f t="shared" si="89"/>
        <v>0</v>
      </c>
      <c r="K315" s="433">
        <f t="shared" si="93"/>
        <v>0</v>
      </c>
      <c r="L315" s="435">
        <f t="shared" si="80"/>
        <v>0</v>
      </c>
      <c r="M315" s="420"/>
      <c r="N315" s="420"/>
      <c r="O315" s="420">
        <f t="shared" si="78"/>
        <v>0</v>
      </c>
      <c r="P315" s="420"/>
      <c r="R315" s="420"/>
    </row>
    <row r="316" spans="1:21" s="402" customFormat="1" ht="63" x14ac:dyDescent="0.2">
      <c r="A316" s="414">
        <v>200108</v>
      </c>
      <c r="B316" s="432" t="s">
        <v>804</v>
      </c>
      <c r="C316" s="433" t="s">
        <v>35</v>
      </c>
      <c r="D316" s="433">
        <v>25</v>
      </c>
      <c r="E316" s="433">
        <v>191.53</v>
      </c>
      <c r="F316" s="490">
        <f t="shared" si="92"/>
        <v>4788.25</v>
      </c>
      <c r="G316" s="483">
        <v>25</v>
      </c>
      <c r="H316" s="433">
        <v>4788.25</v>
      </c>
      <c r="I316" s="435">
        <f t="shared" si="91"/>
        <v>1</v>
      </c>
      <c r="J316" s="433">
        <f t="shared" si="89"/>
        <v>0</v>
      </c>
      <c r="K316" s="433">
        <f t="shared" si="93"/>
        <v>0</v>
      </c>
      <c r="L316" s="435">
        <f t="shared" ref="L316:L347" si="94">IF(F316=0,0,K316/F316)</f>
        <v>0</v>
      </c>
      <c r="M316" s="420"/>
      <c r="N316" s="420"/>
      <c r="O316" s="420">
        <f t="shared" si="78"/>
        <v>0</v>
      </c>
      <c r="P316" s="420"/>
      <c r="R316" s="420"/>
    </row>
    <row r="317" spans="1:21" s="402" customFormat="1" ht="31.5" x14ac:dyDescent="0.2">
      <c r="A317" s="414">
        <v>200201</v>
      </c>
      <c r="B317" s="432" t="s">
        <v>805</v>
      </c>
      <c r="C317" s="433" t="s">
        <v>35</v>
      </c>
      <c r="D317" s="433">
        <v>191.09</v>
      </c>
      <c r="E317" s="433">
        <v>36.340000000000003</v>
      </c>
      <c r="F317" s="490">
        <f t="shared" si="92"/>
        <v>6944.21</v>
      </c>
      <c r="G317" s="483">
        <v>191.09</v>
      </c>
      <c r="H317" s="433">
        <v>6944.2106000000003</v>
      </c>
      <c r="I317" s="435">
        <f t="shared" si="91"/>
        <v>1.000000086402917</v>
      </c>
      <c r="J317" s="433">
        <f t="shared" si="89"/>
        <v>0</v>
      </c>
      <c r="K317" s="433">
        <f t="shared" si="93"/>
        <v>0</v>
      </c>
      <c r="L317" s="435">
        <f t="shared" si="94"/>
        <v>0</v>
      </c>
      <c r="M317" s="420"/>
      <c r="N317" s="420">
        <v>50</v>
      </c>
      <c r="O317" s="420">
        <f t="shared" si="78"/>
        <v>-50</v>
      </c>
      <c r="P317" s="420"/>
      <c r="R317" s="420"/>
    </row>
    <row r="318" spans="1:21" s="402" customFormat="1" ht="47.25" x14ac:dyDescent="0.2">
      <c r="A318" s="414">
        <v>200202</v>
      </c>
      <c r="B318" s="432" t="s">
        <v>806</v>
      </c>
      <c r="C318" s="433" t="s">
        <v>23</v>
      </c>
      <c r="D318" s="433">
        <v>200</v>
      </c>
      <c r="E318" s="433">
        <v>10.8</v>
      </c>
      <c r="F318" s="490">
        <f t="shared" si="92"/>
        <v>2160</v>
      </c>
      <c r="G318" s="483">
        <v>200</v>
      </c>
      <c r="H318" s="433">
        <v>2160</v>
      </c>
      <c r="I318" s="435">
        <f t="shared" si="91"/>
        <v>1</v>
      </c>
      <c r="J318" s="433">
        <f t="shared" si="89"/>
        <v>0</v>
      </c>
      <c r="K318" s="433">
        <f t="shared" si="93"/>
        <v>0</v>
      </c>
      <c r="L318" s="435">
        <f t="shared" si="94"/>
        <v>0</v>
      </c>
      <c r="M318" s="420"/>
      <c r="N318" s="420">
        <f>N317*E317</f>
        <v>1817.0000000000002</v>
      </c>
      <c r="O318" s="420">
        <f t="shared" si="78"/>
        <v>-1817.0000000000002</v>
      </c>
      <c r="P318" s="420"/>
      <c r="R318" s="420"/>
    </row>
    <row r="319" spans="1:21" s="402" customFormat="1" ht="47.25" x14ac:dyDescent="0.2">
      <c r="A319" s="414" t="s">
        <v>807</v>
      </c>
      <c r="B319" s="432" t="s">
        <v>808</v>
      </c>
      <c r="C319" s="433" t="s">
        <v>23</v>
      </c>
      <c r="D319" s="433">
        <v>400</v>
      </c>
      <c r="E319" s="433">
        <v>7.62</v>
      </c>
      <c r="F319" s="490">
        <f t="shared" si="92"/>
        <v>3048</v>
      </c>
      <c r="G319" s="483">
        <v>400</v>
      </c>
      <c r="H319" s="433">
        <v>3048</v>
      </c>
      <c r="I319" s="435">
        <f t="shared" si="91"/>
        <v>1</v>
      </c>
      <c r="J319" s="433">
        <f t="shared" si="89"/>
        <v>0</v>
      </c>
      <c r="K319" s="433">
        <f t="shared" si="93"/>
        <v>0</v>
      </c>
      <c r="L319" s="435">
        <f t="shared" si="94"/>
        <v>0</v>
      </c>
      <c r="M319" s="420"/>
      <c r="N319" s="420"/>
      <c r="O319" s="420">
        <f t="shared" si="78"/>
        <v>0</v>
      </c>
      <c r="P319" s="420"/>
      <c r="R319" s="420"/>
    </row>
    <row r="320" spans="1:21" s="402" customFormat="1" ht="31.5" x14ac:dyDescent="0.2">
      <c r="A320" s="414" t="s">
        <v>809</v>
      </c>
      <c r="B320" s="432" t="s">
        <v>810</v>
      </c>
      <c r="C320" s="433" t="s">
        <v>23</v>
      </c>
      <c r="D320" s="433">
        <v>4</v>
      </c>
      <c r="E320" s="433">
        <v>165.77</v>
      </c>
      <c r="F320" s="490">
        <f t="shared" si="92"/>
        <v>663.08</v>
      </c>
      <c r="G320" s="483">
        <v>4</v>
      </c>
      <c r="H320" s="433">
        <v>663.08</v>
      </c>
      <c r="I320" s="435">
        <f t="shared" si="91"/>
        <v>1</v>
      </c>
      <c r="J320" s="433">
        <f t="shared" si="89"/>
        <v>0</v>
      </c>
      <c r="K320" s="433">
        <f t="shared" si="93"/>
        <v>0</v>
      </c>
      <c r="L320" s="435">
        <f t="shared" si="94"/>
        <v>0</v>
      </c>
      <c r="M320" s="420"/>
      <c r="N320" s="420"/>
      <c r="O320" s="420">
        <f t="shared" si="78"/>
        <v>0</v>
      </c>
      <c r="P320" s="420"/>
      <c r="R320" s="420"/>
    </row>
    <row r="321" spans="1:18" s="402" customFormat="1" ht="15.75" x14ac:dyDescent="0.2">
      <c r="A321" s="414" t="s">
        <v>811</v>
      </c>
      <c r="B321" s="432" t="s">
        <v>812</v>
      </c>
      <c r="C321" s="433" t="s">
        <v>35</v>
      </c>
      <c r="D321" s="433">
        <v>120</v>
      </c>
      <c r="E321" s="433">
        <v>1.29</v>
      </c>
      <c r="F321" s="490">
        <f t="shared" si="92"/>
        <v>154.80000000000001</v>
      </c>
      <c r="G321" s="483">
        <v>120</v>
      </c>
      <c r="H321" s="433">
        <v>154.80000000000001</v>
      </c>
      <c r="I321" s="435">
        <f t="shared" si="91"/>
        <v>1</v>
      </c>
      <c r="J321" s="433">
        <f t="shared" si="89"/>
        <v>0</v>
      </c>
      <c r="K321" s="433">
        <f t="shared" si="93"/>
        <v>0</v>
      </c>
      <c r="L321" s="435">
        <f t="shared" si="94"/>
        <v>0</v>
      </c>
      <c r="M321" s="420"/>
      <c r="N321" s="420"/>
      <c r="O321" s="420">
        <f t="shared" si="78"/>
        <v>0</v>
      </c>
      <c r="P321" s="420"/>
      <c r="R321" s="420"/>
    </row>
    <row r="322" spans="1:18" s="402" customFormat="1" ht="15.75" x14ac:dyDescent="0.2">
      <c r="A322" s="414" t="s">
        <v>813</v>
      </c>
      <c r="B322" s="432" t="s">
        <v>814</v>
      </c>
      <c r="C322" s="433" t="s">
        <v>35</v>
      </c>
      <c r="D322" s="433">
        <v>350.96</v>
      </c>
      <c r="E322" s="433">
        <v>14.66</v>
      </c>
      <c r="F322" s="490">
        <f t="shared" si="92"/>
        <v>5145.07</v>
      </c>
      <c r="G322" s="483">
        <v>350.96</v>
      </c>
      <c r="H322" s="433">
        <v>5145.0735999999997</v>
      </c>
      <c r="I322" s="435">
        <f t="shared" si="91"/>
        <v>1.000000699698935</v>
      </c>
      <c r="J322" s="433">
        <f t="shared" si="89"/>
        <v>0</v>
      </c>
      <c r="K322" s="433">
        <f t="shared" si="93"/>
        <v>0</v>
      </c>
      <c r="L322" s="435">
        <f t="shared" si="94"/>
        <v>0</v>
      </c>
      <c r="M322" s="420"/>
      <c r="N322" s="420"/>
      <c r="O322" s="420">
        <f t="shared" si="78"/>
        <v>0</v>
      </c>
      <c r="P322" s="420"/>
      <c r="R322" s="420"/>
    </row>
    <row r="323" spans="1:18" s="402" customFormat="1" ht="63" x14ac:dyDescent="0.2">
      <c r="A323" s="414" t="s">
        <v>815</v>
      </c>
      <c r="B323" s="432" t="s">
        <v>816</v>
      </c>
      <c r="C323" s="433" t="s">
        <v>23</v>
      </c>
      <c r="D323" s="433">
        <v>1</v>
      </c>
      <c r="E323" s="433">
        <v>9030.9599999999991</v>
      </c>
      <c r="F323" s="490">
        <f t="shared" si="92"/>
        <v>9030.9599999999991</v>
      </c>
      <c r="G323" s="483">
        <v>1</v>
      </c>
      <c r="H323" s="433">
        <v>9030.9599999999991</v>
      </c>
      <c r="I323" s="435">
        <f t="shared" si="91"/>
        <v>1</v>
      </c>
      <c r="J323" s="433">
        <f t="shared" si="89"/>
        <v>0</v>
      </c>
      <c r="K323" s="433">
        <f t="shared" si="93"/>
        <v>0</v>
      </c>
      <c r="L323" s="435">
        <f t="shared" si="94"/>
        <v>0</v>
      </c>
      <c r="M323" s="420"/>
      <c r="N323" s="420"/>
      <c r="O323" s="420">
        <f t="shared" si="78"/>
        <v>0</v>
      </c>
      <c r="P323" s="420"/>
      <c r="R323" s="420"/>
    </row>
    <row r="324" spans="1:18" s="402" customFormat="1" ht="31.5" x14ac:dyDescent="0.2">
      <c r="A324" s="414" t="s">
        <v>817</v>
      </c>
      <c r="B324" s="432" t="s">
        <v>818</v>
      </c>
      <c r="C324" s="433" t="s">
        <v>26</v>
      </c>
      <c r="D324" s="433">
        <v>12.8</v>
      </c>
      <c r="E324" s="433">
        <v>106.65</v>
      </c>
      <c r="F324" s="490">
        <f t="shared" si="92"/>
        <v>1365.12</v>
      </c>
      <c r="G324" s="483">
        <v>12.8</v>
      </c>
      <c r="H324" s="433">
        <v>1365.1200000000001</v>
      </c>
      <c r="I324" s="435">
        <f t="shared" si="91"/>
        <v>1.0000000000000002</v>
      </c>
      <c r="J324" s="433">
        <f t="shared" si="89"/>
        <v>0</v>
      </c>
      <c r="K324" s="433">
        <f t="shared" si="93"/>
        <v>0</v>
      </c>
      <c r="L324" s="435">
        <f t="shared" si="94"/>
        <v>0</v>
      </c>
      <c r="M324" s="420"/>
      <c r="N324" s="420"/>
      <c r="O324" s="420">
        <f t="shared" si="78"/>
        <v>0</v>
      </c>
      <c r="P324" s="420"/>
      <c r="R324" s="420"/>
    </row>
    <row r="325" spans="1:18" s="402" customFormat="1" ht="31.5" x14ac:dyDescent="0.2">
      <c r="A325" s="414" t="s">
        <v>819</v>
      </c>
      <c r="B325" s="432" t="s">
        <v>820</v>
      </c>
      <c r="C325" s="433" t="s">
        <v>26</v>
      </c>
      <c r="D325" s="433">
        <v>12.8</v>
      </c>
      <c r="E325" s="433">
        <v>309.42</v>
      </c>
      <c r="F325" s="490">
        <f t="shared" si="92"/>
        <v>3960.58</v>
      </c>
      <c r="G325" s="483">
        <v>12.8</v>
      </c>
      <c r="H325" s="433">
        <v>3960.5760000000005</v>
      </c>
      <c r="I325" s="435">
        <f t="shared" si="91"/>
        <v>0.99999899004691251</v>
      </c>
      <c r="J325" s="433">
        <f t="shared" si="89"/>
        <v>0</v>
      </c>
      <c r="K325" s="433">
        <f t="shared" si="93"/>
        <v>0</v>
      </c>
      <c r="L325" s="435">
        <f t="shared" si="94"/>
        <v>0</v>
      </c>
      <c r="M325" s="420"/>
      <c r="N325" s="420"/>
      <c r="O325" s="420">
        <f t="shared" si="78"/>
        <v>0</v>
      </c>
      <c r="P325" s="420"/>
      <c r="R325" s="420"/>
    </row>
    <row r="326" spans="1:18" s="402" customFormat="1" ht="63" x14ac:dyDescent="0.2">
      <c r="A326" s="414" t="s">
        <v>821</v>
      </c>
      <c r="B326" s="432" t="s">
        <v>822</v>
      </c>
      <c r="C326" s="433" t="s">
        <v>35</v>
      </c>
      <c r="D326" s="433">
        <v>11.77</v>
      </c>
      <c r="E326" s="433">
        <v>225.53</v>
      </c>
      <c r="F326" s="490">
        <f t="shared" si="92"/>
        <v>2654.49</v>
      </c>
      <c r="G326" s="483">
        <v>11.77</v>
      </c>
      <c r="H326" s="433">
        <v>2654.4881</v>
      </c>
      <c r="I326" s="435">
        <f t="shared" si="91"/>
        <v>0.99999928423162276</v>
      </c>
      <c r="J326" s="433">
        <f t="shared" si="89"/>
        <v>0</v>
      </c>
      <c r="K326" s="433">
        <f t="shared" si="93"/>
        <v>0</v>
      </c>
      <c r="L326" s="435">
        <f t="shared" si="94"/>
        <v>0</v>
      </c>
      <c r="M326" s="420"/>
      <c r="N326" s="420"/>
      <c r="O326" s="420">
        <f t="shared" si="78"/>
        <v>0</v>
      </c>
      <c r="P326" s="420"/>
      <c r="R326" s="420"/>
    </row>
    <row r="327" spans="1:18" s="402" customFormat="1" ht="63" x14ac:dyDescent="0.2">
      <c r="A327" s="414" t="s">
        <v>823</v>
      </c>
      <c r="B327" s="432" t="s">
        <v>824</v>
      </c>
      <c r="C327" s="433" t="s">
        <v>35</v>
      </c>
      <c r="D327" s="433">
        <v>15</v>
      </c>
      <c r="E327" s="433">
        <v>1990.57</v>
      </c>
      <c r="F327" s="490">
        <f t="shared" si="92"/>
        <v>29858.55</v>
      </c>
      <c r="G327" s="483">
        <v>15</v>
      </c>
      <c r="H327" s="433">
        <v>29858.55</v>
      </c>
      <c r="I327" s="435">
        <f t="shared" si="91"/>
        <v>1</v>
      </c>
      <c r="J327" s="433">
        <f t="shared" si="89"/>
        <v>0</v>
      </c>
      <c r="K327" s="433">
        <f t="shared" si="93"/>
        <v>0</v>
      </c>
      <c r="L327" s="435">
        <f t="shared" si="94"/>
        <v>0</v>
      </c>
      <c r="M327" s="420"/>
      <c r="N327" s="420"/>
      <c r="O327" s="420">
        <f t="shared" si="78"/>
        <v>0</v>
      </c>
      <c r="P327" s="420"/>
      <c r="R327" s="420"/>
    </row>
    <row r="328" spans="1:18" s="402" customFormat="1" ht="63" x14ac:dyDescent="0.2">
      <c r="A328" s="414" t="s">
        <v>825</v>
      </c>
      <c r="B328" s="432" t="s">
        <v>826</v>
      </c>
      <c r="C328" s="433" t="s">
        <v>35</v>
      </c>
      <c r="D328" s="433">
        <v>15.16</v>
      </c>
      <c r="E328" s="433">
        <v>1021.68</v>
      </c>
      <c r="F328" s="490">
        <f t="shared" si="92"/>
        <v>15488.67</v>
      </c>
      <c r="G328" s="483">
        <v>15.16</v>
      </c>
      <c r="H328" s="433">
        <v>15488.668799999999</v>
      </c>
      <c r="I328" s="435">
        <f t="shared" si="91"/>
        <v>0.99999992252401271</v>
      </c>
      <c r="J328" s="433">
        <f t="shared" si="89"/>
        <v>0</v>
      </c>
      <c r="K328" s="433">
        <f t="shared" si="93"/>
        <v>0</v>
      </c>
      <c r="L328" s="435">
        <f t="shared" si="94"/>
        <v>0</v>
      </c>
      <c r="M328" s="420"/>
      <c r="N328" s="420"/>
      <c r="O328" s="420">
        <f t="shared" si="78"/>
        <v>0</v>
      </c>
      <c r="P328" s="420"/>
      <c r="R328" s="420"/>
    </row>
    <row r="329" spans="1:18" s="402" customFormat="1" ht="31.5" x14ac:dyDescent="0.25">
      <c r="A329" s="414" t="s">
        <v>827</v>
      </c>
      <c r="B329" s="432" t="s">
        <v>828</v>
      </c>
      <c r="C329" s="433" t="s">
        <v>23</v>
      </c>
      <c r="D329" s="433">
        <v>9</v>
      </c>
      <c r="E329" s="433">
        <v>828.83</v>
      </c>
      <c r="F329" s="490">
        <f t="shared" si="92"/>
        <v>7459.47</v>
      </c>
      <c r="G329" s="483">
        <v>6</v>
      </c>
      <c r="H329" s="433">
        <v>4972.9800000000005</v>
      </c>
      <c r="I329" s="435">
        <f t="shared" si="91"/>
        <v>0.66666666666666674</v>
      </c>
      <c r="J329" s="433">
        <f t="shared" si="89"/>
        <v>3</v>
      </c>
      <c r="K329" s="433">
        <f t="shared" si="93"/>
        <v>2486.4899999999998</v>
      </c>
      <c r="L329" s="435">
        <f t="shared" si="94"/>
        <v>0.33333333333333331</v>
      </c>
      <c r="M329" s="420"/>
      <c r="N329" s="487" t="s">
        <v>1112</v>
      </c>
      <c r="O329" s="420" t="e">
        <f t="shared" si="78"/>
        <v>#VALUE!</v>
      </c>
      <c r="P329" s="420"/>
      <c r="R329" s="420"/>
    </row>
    <row r="330" spans="1:18" s="402" customFormat="1" ht="63" x14ac:dyDescent="0.2">
      <c r="A330" s="414" t="s">
        <v>829</v>
      </c>
      <c r="B330" s="432" t="s">
        <v>830</v>
      </c>
      <c r="C330" s="433" t="s">
        <v>26</v>
      </c>
      <c r="D330" s="433">
        <v>115</v>
      </c>
      <c r="E330" s="433">
        <v>696.94</v>
      </c>
      <c r="F330" s="490">
        <f t="shared" si="92"/>
        <v>80148.100000000006</v>
      </c>
      <c r="G330" s="483">
        <v>115.00125</v>
      </c>
      <c r="H330" s="433">
        <v>80148.101175000018</v>
      </c>
      <c r="I330" s="435">
        <f t="shared" si="91"/>
        <v>1.0000000146603603</v>
      </c>
      <c r="J330" s="433"/>
      <c r="K330" s="433"/>
      <c r="L330" s="435"/>
      <c r="M330" s="420"/>
      <c r="N330" s="420"/>
      <c r="O330" s="420">
        <f t="shared" si="78"/>
        <v>0</v>
      </c>
      <c r="P330" s="420"/>
      <c r="R330" s="420"/>
    </row>
    <row r="331" spans="1:18" s="402" customFormat="1" ht="63" x14ac:dyDescent="0.2">
      <c r="A331" s="414" t="s">
        <v>831</v>
      </c>
      <c r="B331" s="432" t="s">
        <v>832</v>
      </c>
      <c r="C331" s="433" t="s">
        <v>35</v>
      </c>
      <c r="D331" s="433">
        <v>77.569999999999993</v>
      </c>
      <c r="E331" s="433">
        <v>1007.92</v>
      </c>
      <c r="F331" s="490">
        <f t="shared" si="92"/>
        <v>78184.350000000006</v>
      </c>
      <c r="G331" s="483">
        <v>77.569999999999993</v>
      </c>
      <c r="H331" s="433">
        <v>78184.354400000011</v>
      </c>
      <c r="I331" s="435">
        <f t="shared" si="91"/>
        <v>1.0000000562772473</v>
      </c>
      <c r="J331" s="433">
        <f t="shared" ref="J331:J339" si="95">D331-G331</f>
        <v>0</v>
      </c>
      <c r="K331" s="433">
        <f t="shared" ref="K331:K368" si="96">ROUND((J331*E331),2)</f>
        <v>0</v>
      </c>
      <c r="L331" s="435">
        <f t="shared" ref="L331:L362" si="97">IF(F331=0,0,K331/F331)</f>
        <v>0</v>
      </c>
      <c r="M331" s="420"/>
      <c r="N331" s="420"/>
      <c r="O331" s="420">
        <f t="shared" ref="O331:O394" si="98">K331-N331</f>
        <v>0</v>
      </c>
      <c r="P331" s="420"/>
      <c r="R331" s="420"/>
    </row>
    <row r="332" spans="1:18" s="402" customFormat="1" ht="63" x14ac:dyDescent="0.2">
      <c r="A332" s="414" t="s">
        <v>833</v>
      </c>
      <c r="B332" s="432" t="s">
        <v>834</v>
      </c>
      <c r="C332" s="433" t="s">
        <v>35</v>
      </c>
      <c r="D332" s="433">
        <v>6.06</v>
      </c>
      <c r="E332" s="433">
        <v>763.52</v>
      </c>
      <c r="F332" s="490">
        <f t="shared" si="92"/>
        <v>4626.93</v>
      </c>
      <c r="G332" s="483">
        <v>0</v>
      </c>
      <c r="H332" s="433">
        <v>0</v>
      </c>
      <c r="I332" s="435">
        <f t="shared" si="91"/>
        <v>0</v>
      </c>
      <c r="J332" s="433">
        <f t="shared" si="95"/>
        <v>6.06</v>
      </c>
      <c r="K332" s="433">
        <f t="shared" si="96"/>
        <v>4626.93</v>
      </c>
      <c r="L332" s="435">
        <f t="shared" si="97"/>
        <v>1</v>
      </c>
      <c r="M332" s="420"/>
      <c r="N332" s="420">
        <f>K332</f>
        <v>4626.93</v>
      </c>
      <c r="O332" s="420">
        <f t="shared" si="98"/>
        <v>0</v>
      </c>
      <c r="P332" s="420"/>
      <c r="R332" s="420"/>
    </row>
    <row r="333" spans="1:18" s="402" customFormat="1" ht="63" x14ac:dyDescent="0.2">
      <c r="A333" s="414" t="s">
        <v>835</v>
      </c>
      <c r="B333" s="432" t="s">
        <v>836</v>
      </c>
      <c r="C333" s="433" t="s">
        <v>35</v>
      </c>
      <c r="D333" s="433">
        <v>15.21</v>
      </c>
      <c r="E333" s="433">
        <v>770.06</v>
      </c>
      <c r="F333" s="490">
        <f t="shared" si="92"/>
        <v>11712.61</v>
      </c>
      <c r="G333" s="483">
        <v>15.21</v>
      </c>
      <c r="H333" s="433">
        <v>11712.6126</v>
      </c>
      <c r="I333" s="435">
        <f t="shared" si="91"/>
        <v>1.0000002219829738</v>
      </c>
      <c r="J333" s="433">
        <f t="shared" si="95"/>
        <v>0</v>
      </c>
      <c r="K333" s="433">
        <f t="shared" si="96"/>
        <v>0</v>
      </c>
      <c r="L333" s="435">
        <f t="shared" si="97"/>
        <v>0</v>
      </c>
      <c r="M333" s="420"/>
      <c r="N333" s="420"/>
      <c r="O333" s="420">
        <f t="shared" si="98"/>
        <v>0</v>
      </c>
      <c r="P333" s="420"/>
      <c r="R333" s="420"/>
    </row>
    <row r="334" spans="1:18" s="402" customFormat="1" ht="47.25" x14ac:dyDescent="0.2">
      <c r="A334" s="414">
        <v>200506</v>
      </c>
      <c r="B334" s="432" t="s">
        <v>837</v>
      </c>
      <c r="C334" s="433" t="s">
        <v>26</v>
      </c>
      <c r="D334" s="433">
        <v>115</v>
      </c>
      <c r="E334" s="433">
        <v>317.88</v>
      </c>
      <c r="F334" s="490">
        <f t="shared" si="92"/>
        <v>36556.199999999997</v>
      </c>
      <c r="G334" s="483">
        <v>115</v>
      </c>
      <c r="H334" s="433">
        <v>36556.199999999997</v>
      </c>
      <c r="I334" s="435">
        <f t="shared" si="91"/>
        <v>1</v>
      </c>
      <c r="J334" s="433">
        <f t="shared" si="95"/>
        <v>0</v>
      </c>
      <c r="K334" s="433">
        <f t="shared" si="96"/>
        <v>0</v>
      </c>
      <c r="L334" s="435">
        <f t="shared" si="97"/>
        <v>0</v>
      </c>
      <c r="M334" s="420"/>
      <c r="N334" s="420"/>
      <c r="O334" s="420">
        <f t="shared" si="98"/>
        <v>0</v>
      </c>
      <c r="P334" s="420"/>
      <c r="R334" s="420"/>
    </row>
    <row r="335" spans="1:18" s="402" customFormat="1" ht="31.5" x14ac:dyDescent="0.2">
      <c r="A335" s="414">
        <v>200507</v>
      </c>
      <c r="B335" s="432" t="s">
        <v>838</v>
      </c>
      <c r="C335" s="433" t="s">
        <v>26</v>
      </c>
      <c r="D335" s="433">
        <v>115</v>
      </c>
      <c r="E335" s="433">
        <v>107.28</v>
      </c>
      <c r="F335" s="490">
        <f t="shared" si="92"/>
        <v>12337.2</v>
      </c>
      <c r="G335" s="483">
        <v>115</v>
      </c>
      <c r="H335" s="433">
        <v>12337.2</v>
      </c>
      <c r="I335" s="435">
        <f t="shared" si="91"/>
        <v>1</v>
      </c>
      <c r="J335" s="433">
        <f t="shared" si="95"/>
        <v>0</v>
      </c>
      <c r="K335" s="433">
        <f t="shared" si="96"/>
        <v>0</v>
      </c>
      <c r="L335" s="435">
        <f t="shared" si="97"/>
        <v>0</v>
      </c>
      <c r="M335" s="420"/>
      <c r="N335" s="420"/>
      <c r="O335" s="420">
        <f t="shared" si="98"/>
        <v>0</v>
      </c>
      <c r="P335" s="420"/>
      <c r="R335" s="420"/>
    </row>
    <row r="336" spans="1:18" s="402" customFormat="1" ht="63" x14ac:dyDescent="0.2">
      <c r="A336" s="414" t="s">
        <v>839</v>
      </c>
      <c r="B336" s="432" t="s">
        <v>840</v>
      </c>
      <c r="C336" s="433" t="s">
        <v>35</v>
      </c>
      <c r="D336" s="433">
        <v>45</v>
      </c>
      <c r="E336" s="433">
        <v>1258.28</v>
      </c>
      <c r="F336" s="490">
        <f t="shared" si="92"/>
        <v>56622.6</v>
      </c>
      <c r="G336" s="483">
        <v>22.70102520901548</v>
      </c>
      <c r="H336" s="433">
        <v>28564.245999999999</v>
      </c>
      <c r="I336" s="435">
        <f t="shared" si="91"/>
        <v>0.50446722686701073</v>
      </c>
      <c r="J336" s="433">
        <f t="shared" si="95"/>
        <v>22.29897479098452</v>
      </c>
      <c r="K336" s="433">
        <f t="shared" si="96"/>
        <v>28058.35</v>
      </c>
      <c r="L336" s="435">
        <f t="shared" si="97"/>
        <v>0.49553270248981857</v>
      </c>
      <c r="M336" s="420"/>
      <c r="N336" s="420">
        <f>K336</f>
        <v>28058.35</v>
      </c>
      <c r="O336" s="420">
        <f t="shared" si="98"/>
        <v>0</v>
      </c>
      <c r="P336" s="420"/>
      <c r="R336" s="420"/>
    </row>
    <row r="337" spans="1:18" s="402" customFormat="1" ht="63" x14ac:dyDescent="0.2">
      <c r="A337" s="414" t="s">
        <v>841</v>
      </c>
      <c r="B337" s="432" t="s">
        <v>842</v>
      </c>
      <c r="C337" s="433" t="s">
        <v>35</v>
      </c>
      <c r="D337" s="433">
        <v>27.27</v>
      </c>
      <c r="E337" s="433">
        <v>984.68</v>
      </c>
      <c r="F337" s="490">
        <f t="shared" si="92"/>
        <v>26852.22</v>
      </c>
      <c r="G337" s="483">
        <v>18.75242698135435</v>
      </c>
      <c r="H337" s="433">
        <v>18465.139800000001</v>
      </c>
      <c r="I337" s="435">
        <f t="shared" si="91"/>
        <v>0.68765784728413515</v>
      </c>
      <c r="J337" s="433">
        <f t="shared" si="95"/>
        <v>8.5175730186456491</v>
      </c>
      <c r="K337" s="433">
        <f t="shared" si="96"/>
        <v>8387.08</v>
      </c>
      <c r="L337" s="435">
        <f t="shared" si="97"/>
        <v>0.31234214526769105</v>
      </c>
      <c r="M337" s="420"/>
      <c r="N337" s="420">
        <f>K337</f>
        <v>8387.08</v>
      </c>
      <c r="O337" s="420">
        <f t="shared" si="98"/>
        <v>0</v>
      </c>
      <c r="P337" s="420">
        <v>9303.1</v>
      </c>
      <c r="Q337" s="402">
        <f>P337/E337</f>
        <v>9.4478409229394327</v>
      </c>
      <c r="R337" s="420"/>
    </row>
    <row r="338" spans="1:18" s="402" customFormat="1" ht="47.25" x14ac:dyDescent="0.2">
      <c r="A338" s="414">
        <v>200510</v>
      </c>
      <c r="B338" s="432" t="s">
        <v>843</v>
      </c>
      <c r="C338" s="433" t="s">
        <v>26</v>
      </c>
      <c r="D338" s="433">
        <v>160</v>
      </c>
      <c r="E338" s="433">
        <v>1239.43</v>
      </c>
      <c r="F338" s="490">
        <f t="shared" si="92"/>
        <v>198308.8</v>
      </c>
      <c r="G338" s="483">
        <v>160</v>
      </c>
      <c r="H338" s="433">
        <v>198308.8</v>
      </c>
      <c r="I338" s="435">
        <f t="shared" si="91"/>
        <v>1</v>
      </c>
      <c r="J338" s="433">
        <f t="shared" si="95"/>
        <v>0</v>
      </c>
      <c r="K338" s="433">
        <f t="shared" si="96"/>
        <v>0</v>
      </c>
      <c r="L338" s="435">
        <f t="shared" si="97"/>
        <v>0</v>
      </c>
      <c r="M338" s="420"/>
      <c r="N338" s="420">
        <f>N339/E340</f>
        <v>12.939986513823332</v>
      </c>
      <c r="O338" s="420">
        <f t="shared" si="98"/>
        <v>-12.939986513823332</v>
      </c>
      <c r="P338" s="420"/>
      <c r="R338" s="420"/>
    </row>
    <row r="339" spans="1:18" s="402" customFormat="1" ht="47.25" x14ac:dyDescent="0.2">
      <c r="A339" s="414" t="s">
        <v>844</v>
      </c>
      <c r="B339" s="432" t="s">
        <v>845</v>
      </c>
      <c r="C339" s="433" t="s">
        <v>35</v>
      </c>
      <c r="D339" s="433">
        <v>970</v>
      </c>
      <c r="E339" s="433">
        <v>19.61</v>
      </c>
      <c r="F339" s="490">
        <f t="shared" si="92"/>
        <v>19021.7</v>
      </c>
      <c r="G339" s="483">
        <v>970</v>
      </c>
      <c r="H339" s="433">
        <v>19021.699999999997</v>
      </c>
      <c r="I339" s="435">
        <f t="shared" si="91"/>
        <v>0.99999999999999978</v>
      </c>
      <c r="J339" s="433">
        <f t="shared" si="95"/>
        <v>0</v>
      </c>
      <c r="K339" s="433">
        <f t="shared" si="96"/>
        <v>0</v>
      </c>
      <c r="L339" s="435">
        <f t="shared" si="97"/>
        <v>0</v>
      </c>
      <c r="M339" s="420"/>
      <c r="N339" s="420">
        <f>384.1-0.3</f>
        <v>383.8</v>
      </c>
      <c r="O339" s="420">
        <f t="shared" si="98"/>
        <v>-383.8</v>
      </c>
      <c r="P339" s="420"/>
      <c r="R339" s="420"/>
    </row>
    <row r="340" spans="1:18" s="402" customFormat="1" ht="47.25" x14ac:dyDescent="0.2">
      <c r="A340" s="414" t="s">
        <v>846</v>
      </c>
      <c r="B340" s="432" t="s">
        <v>847</v>
      </c>
      <c r="C340" s="433" t="s">
        <v>35</v>
      </c>
      <c r="D340" s="433">
        <v>970</v>
      </c>
      <c r="E340" s="433">
        <v>29.66</v>
      </c>
      <c r="F340" s="490">
        <f t="shared" si="92"/>
        <v>28770.2</v>
      </c>
      <c r="G340" s="483">
        <v>969.99998651382339</v>
      </c>
      <c r="H340" s="433">
        <v>28770.199600000004</v>
      </c>
      <c r="I340" s="435">
        <f t="shared" ref="I340:I371" si="99">IF(F340=0,0,H340/F340)</f>
        <v>0.99999998609672514</v>
      </c>
      <c r="J340" s="433"/>
      <c r="K340" s="433">
        <f t="shared" si="96"/>
        <v>0</v>
      </c>
      <c r="L340" s="435">
        <f t="shared" si="97"/>
        <v>0</v>
      </c>
      <c r="M340" s="420">
        <f>160*3</f>
        <v>480</v>
      </c>
      <c r="N340" s="420"/>
      <c r="O340" s="420">
        <f t="shared" si="98"/>
        <v>0</v>
      </c>
      <c r="P340" s="420"/>
      <c r="R340" s="420"/>
    </row>
    <row r="341" spans="1:18" s="402" customFormat="1" ht="15.75" x14ac:dyDescent="0.2">
      <c r="A341" s="414" t="s">
        <v>848</v>
      </c>
      <c r="B341" s="432" t="s">
        <v>849</v>
      </c>
      <c r="C341" s="433" t="s">
        <v>26</v>
      </c>
      <c r="D341" s="433">
        <v>640</v>
      </c>
      <c r="E341" s="433">
        <v>44.44</v>
      </c>
      <c r="F341" s="490">
        <f t="shared" si="92"/>
        <v>28441.599999999999</v>
      </c>
      <c r="G341" s="483">
        <v>271.7</v>
      </c>
      <c r="H341" s="433">
        <v>12074.347999999998</v>
      </c>
      <c r="I341" s="435">
        <f t="shared" si="99"/>
        <v>0.42453124999999997</v>
      </c>
      <c r="J341" s="433">
        <f t="shared" ref="J341:J372" si="100">D341-G341</f>
        <v>368.3</v>
      </c>
      <c r="K341" s="433">
        <f t="shared" si="96"/>
        <v>16367.25</v>
      </c>
      <c r="L341" s="435">
        <f t="shared" si="97"/>
        <v>0.57546867968046811</v>
      </c>
      <c r="M341" s="420"/>
      <c r="N341" s="420">
        <f>K341</f>
        <v>16367.25</v>
      </c>
      <c r="O341" s="420">
        <f t="shared" si="98"/>
        <v>0</v>
      </c>
      <c r="P341" s="420"/>
      <c r="R341" s="420"/>
    </row>
    <row r="342" spans="1:18" s="402" customFormat="1" ht="31.5" x14ac:dyDescent="0.2">
      <c r="A342" s="414" t="s">
        <v>850</v>
      </c>
      <c r="B342" s="432" t="s">
        <v>318</v>
      </c>
      <c r="C342" s="433" t="s">
        <v>35</v>
      </c>
      <c r="D342" s="433">
        <v>123.71</v>
      </c>
      <c r="E342" s="433">
        <v>8</v>
      </c>
      <c r="F342" s="490">
        <f t="shared" si="92"/>
        <v>989.68</v>
      </c>
      <c r="G342" s="483">
        <v>0</v>
      </c>
      <c r="H342" s="433">
        <v>0</v>
      </c>
      <c r="I342" s="435">
        <f t="shared" si="99"/>
        <v>0</v>
      </c>
      <c r="J342" s="433">
        <f t="shared" si="100"/>
        <v>123.71</v>
      </c>
      <c r="K342" s="433">
        <f t="shared" si="96"/>
        <v>989.68</v>
      </c>
      <c r="L342" s="435">
        <f t="shared" si="97"/>
        <v>1</v>
      </c>
      <c r="M342" s="420"/>
      <c r="N342" s="420">
        <f t="shared" ref="N342:N345" si="101">K342</f>
        <v>989.68</v>
      </c>
      <c r="O342" s="420">
        <f t="shared" si="98"/>
        <v>0</v>
      </c>
      <c r="P342" s="420"/>
      <c r="R342" s="420"/>
    </row>
    <row r="343" spans="1:18" s="402" customFormat="1" ht="31.5" x14ac:dyDescent="0.2">
      <c r="A343" s="414" t="s">
        <v>851</v>
      </c>
      <c r="B343" s="432" t="s">
        <v>852</v>
      </c>
      <c r="C343" s="433" t="s">
        <v>35</v>
      </c>
      <c r="D343" s="433">
        <v>123.71</v>
      </c>
      <c r="E343" s="433">
        <v>5.5</v>
      </c>
      <c r="F343" s="490">
        <f t="shared" si="92"/>
        <v>680.41</v>
      </c>
      <c r="G343" s="483">
        <v>0</v>
      </c>
      <c r="H343" s="433">
        <v>0</v>
      </c>
      <c r="I343" s="435">
        <f t="shared" si="99"/>
        <v>0</v>
      </c>
      <c r="J343" s="433">
        <f t="shared" si="100"/>
        <v>123.71</v>
      </c>
      <c r="K343" s="433">
        <f t="shared" si="96"/>
        <v>680.41</v>
      </c>
      <c r="L343" s="435">
        <f t="shared" si="97"/>
        <v>1</v>
      </c>
      <c r="M343" s="420"/>
      <c r="N343" s="420">
        <f t="shared" si="101"/>
        <v>680.41</v>
      </c>
      <c r="O343" s="420">
        <f t="shared" si="98"/>
        <v>0</v>
      </c>
      <c r="P343" s="420"/>
      <c r="R343" s="420"/>
    </row>
    <row r="344" spans="1:18" s="402" customFormat="1" ht="15.75" x14ac:dyDescent="0.2">
      <c r="A344" s="414" t="s">
        <v>853</v>
      </c>
      <c r="B344" s="432" t="s">
        <v>352</v>
      </c>
      <c r="C344" s="433" t="s">
        <v>35</v>
      </c>
      <c r="D344" s="433">
        <v>367.6</v>
      </c>
      <c r="E344" s="433">
        <v>10.49</v>
      </c>
      <c r="F344" s="490">
        <f t="shared" si="92"/>
        <v>3856.12</v>
      </c>
      <c r="G344" s="483">
        <v>0</v>
      </c>
      <c r="H344" s="433">
        <v>0</v>
      </c>
      <c r="I344" s="435">
        <f t="shared" si="99"/>
        <v>0</v>
      </c>
      <c r="J344" s="433">
        <f t="shared" si="100"/>
        <v>367.6</v>
      </c>
      <c r="K344" s="433">
        <f t="shared" si="96"/>
        <v>3856.12</v>
      </c>
      <c r="L344" s="435">
        <f t="shared" si="97"/>
        <v>1</v>
      </c>
      <c r="M344" s="420"/>
      <c r="N344" s="420"/>
      <c r="O344" s="420">
        <f t="shared" si="98"/>
        <v>3856.12</v>
      </c>
      <c r="P344" s="420"/>
      <c r="R344" s="420"/>
    </row>
    <row r="345" spans="1:18" s="402" customFormat="1" ht="15.75" x14ac:dyDescent="0.2">
      <c r="A345" s="414" t="s">
        <v>854</v>
      </c>
      <c r="B345" s="432" t="s">
        <v>342</v>
      </c>
      <c r="C345" s="433" t="s">
        <v>340</v>
      </c>
      <c r="D345" s="433">
        <v>6.34</v>
      </c>
      <c r="E345" s="433">
        <v>62.96</v>
      </c>
      <c r="F345" s="490">
        <f t="shared" si="92"/>
        <v>399.17</v>
      </c>
      <c r="G345" s="483">
        <v>0</v>
      </c>
      <c r="H345" s="433">
        <v>0</v>
      </c>
      <c r="I345" s="435">
        <f t="shared" si="99"/>
        <v>0</v>
      </c>
      <c r="J345" s="433">
        <f t="shared" si="100"/>
        <v>6.34</v>
      </c>
      <c r="K345" s="433">
        <f t="shared" si="96"/>
        <v>399.17</v>
      </c>
      <c r="L345" s="435">
        <f t="shared" si="97"/>
        <v>1</v>
      </c>
      <c r="M345" s="420"/>
      <c r="N345" s="420">
        <f t="shared" si="101"/>
        <v>399.17</v>
      </c>
      <c r="O345" s="420">
        <f t="shared" si="98"/>
        <v>0</v>
      </c>
      <c r="P345" s="420"/>
      <c r="R345" s="420"/>
    </row>
    <row r="346" spans="1:18" s="402" customFormat="1" ht="31.5" x14ac:dyDescent="0.2">
      <c r="A346" s="414" t="s">
        <v>855</v>
      </c>
      <c r="B346" s="432" t="s">
        <v>425</v>
      </c>
      <c r="C346" s="433" t="s">
        <v>26</v>
      </c>
      <c r="D346" s="433">
        <v>36</v>
      </c>
      <c r="E346" s="433">
        <v>16.440000000000001</v>
      </c>
      <c r="F346" s="490">
        <f t="shared" si="92"/>
        <v>591.84</v>
      </c>
      <c r="G346" s="483">
        <v>36</v>
      </c>
      <c r="H346" s="433">
        <v>591.84</v>
      </c>
      <c r="I346" s="435">
        <f t="shared" si="99"/>
        <v>1</v>
      </c>
      <c r="J346" s="433">
        <f t="shared" si="100"/>
        <v>0</v>
      </c>
      <c r="K346" s="433">
        <f t="shared" si="96"/>
        <v>0</v>
      </c>
      <c r="L346" s="435">
        <f t="shared" si="97"/>
        <v>0</v>
      </c>
      <c r="M346" s="420"/>
      <c r="N346" s="420"/>
      <c r="O346" s="420">
        <f t="shared" si="98"/>
        <v>0</v>
      </c>
      <c r="P346" s="420"/>
      <c r="R346" s="420"/>
    </row>
    <row r="347" spans="1:18" s="402" customFormat="1" ht="63" x14ac:dyDescent="0.2">
      <c r="A347" s="414" t="s">
        <v>856</v>
      </c>
      <c r="B347" s="432" t="s">
        <v>438</v>
      </c>
      <c r="C347" s="433" t="s">
        <v>340</v>
      </c>
      <c r="D347" s="433">
        <v>38.86</v>
      </c>
      <c r="E347" s="433">
        <v>85.54</v>
      </c>
      <c r="F347" s="490">
        <f t="shared" si="92"/>
        <v>3324.08</v>
      </c>
      <c r="G347" s="483">
        <v>38.86</v>
      </c>
      <c r="H347" s="433">
        <v>3324.0844000000002</v>
      </c>
      <c r="I347" s="435">
        <f t="shared" si="99"/>
        <v>1.0000013236745204</v>
      </c>
      <c r="J347" s="433">
        <f t="shared" si="100"/>
        <v>0</v>
      </c>
      <c r="K347" s="433">
        <f t="shared" si="96"/>
        <v>0</v>
      </c>
      <c r="L347" s="435">
        <f t="shared" si="97"/>
        <v>0</v>
      </c>
      <c r="M347" s="420"/>
      <c r="N347" s="420"/>
      <c r="O347" s="420">
        <f t="shared" si="98"/>
        <v>0</v>
      </c>
      <c r="P347" s="420"/>
      <c r="R347" s="420"/>
    </row>
    <row r="348" spans="1:18" s="402" customFormat="1" ht="84.75" customHeight="1" x14ac:dyDescent="0.2">
      <c r="A348" s="414" t="s">
        <v>857</v>
      </c>
      <c r="B348" s="432" t="s">
        <v>456</v>
      </c>
      <c r="C348" s="433" t="s">
        <v>35</v>
      </c>
      <c r="D348" s="433">
        <v>42</v>
      </c>
      <c r="E348" s="433">
        <v>157.27000000000001</v>
      </c>
      <c r="F348" s="490">
        <f t="shared" si="92"/>
        <v>6605.34</v>
      </c>
      <c r="G348" s="483">
        <v>6.4799999999999995</v>
      </c>
      <c r="H348" s="433">
        <v>1019.1096</v>
      </c>
      <c r="I348" s="435">
        <f t="shared" si="99"/>
        <v>0.15428571428571428</v>
      </c>
      <c r="J348" s="433">
        <f t="shared" si="100"/>
        <v>35.520000000000003</v>
      </c>
      <c r="K348" s="433">
        <f t="shared" si="96"/>
        <v>5586.23</v>
      </c>
      <c r="L348" s="435">
        <f t="shared" si="97"/>
        <v>0.84571422515722117</v>
      </c>
      <c r="M348" s="420"/>
      <c r="N348" s="420">
        <f>K348</f>
        <v>5586.23</v>
      </c>
      <c r="O348" s="420">
        <f t="shared" si="98"/>
        <v>0</v>
      </c>
      <c r="P348" s="420"/>
      <c r="R348" s="420"/>
    </row>
    <row r="349" spans="1:18" s="402" customFormat="1" ht="31.5" x14ac:dyDescent="0.2">
      <c r="A349" s="414">
        <v>200608</v>
      </c>
      <c r="B349" s="432" t="s">
        <v>858</v>
      </c>
      <c r="C349" s="433" t="s">
        <v>340</v>
      </c>
      <c r="D349" s="433">
        <v>4.5199999999999996</v>
      </c>
      <c r="E349" s="433">
        <v>958.85</v>
      </c>
      <c r="F349" s="490">
        <f t="shared" si="92"/>
        <v>4334</v>
      </c>
      <c r="G349" s="483">
        <v>0.39400000000000002</v>
      </c>
      <c r="H349" s="433">
        <v>377.7869</v>
      </c>
      <c r="I349" s="435">
        <f t="shared" si="99"/>
        <v>8.7168181818181825E-2</v>
      </c>
      <c r="J349" s="433">
        <f t="shared" si="100"/>
        <v>4.1259999999999994</v>
      </c>
      <c r="K349" s="433">
        <f t="shared" si="96"/>
        <v>3956.22</v>
      </c>
      <c r="L349" s="435">
        <f t="shared" si="97"/>
        <v>0.91283341024457776</v>
      </c>
      <c r="M349" s="420"/>
      <c r="N349" s="420">
        <f t="shared" ref="N349:N366" si="102">K349</f>
        <v>3956.22</v>
      </c>
      <c r="O349" s="420">
        <f t="shared" si="98"/>
        <v>0</v>
      </c>
      <c r="P349" s="420"/>
      <c r="R349" s="420"/>
    </row>
    <row r="350" spans="1:18" s="402" customFormat="1" ht="31.5" x14ac:dyDescent="0.2">
      <c r="A350" s="414">
        <v>200609</v>
      </c>
      <c r="B350" s="432" t="s">
        <v>446</v>
      </c>
      <c r="C350" s="433" t="s">
        <v>447</v>
      </c>
      <c r="D350" s="433">
        <v>173.6</v>
      </c>
      <c r="E350" s="433">
        <v>13.25</v>
      </c>
      <c r="F350" s="490">
        <f t="shared" si="92"/>
        <v>2300.1999999999998</v>
      </c>
      <c r="G350" s="483">
        <v>25.44</v>
      </c>
      <c r="H350" s="433">
        <v>337.08000000000004</v>
      </c>
      <c r="I350" s="435">
        <f t="shared" si="99"/>
        <v>0.14654377880184336</v>
      </c>
      <c r="J350" s="433">
        <f t="shared" si="100"/>
        <v>148.16</v>
      </c>
      <c r="K350" s="433">
        <f t="shared" si="96"/>
        <v>1963.12</v>
      </c>
      <c r="L350" s="435">
        <f t="shared" si="97"/>
        <v>0.85345622119815667</v>
      </c>
      <c r="M350" s="420"/>
      <c r="N350" s="420">
        <f t="shared" si="102"/>
        <v>1963.12</v>
      </c>
      <c r="O350" s="420">
        <f t="shared" si="98"/>
        <v>0</v>
      </c>
      <c r="P350" s="420"/>
      <c r="R350" s="420"/>
    </row>
    <row r="351" spans="1:18" s="402" customFormat="1" ht="31.5" x14ac:dyDescent="0.2">
      <c r="A351" s="414">
        <v>200610</v>
      </c>
      <c r="B351" s="432" t="s">
        <v>449</v>
      </c>
      <c r="C351" s="433" t="s">
        <v>447</v>
      </c>
      <c r="D351" s="433">
        <v>225</v>
      </c>
      <c r="E351" s="433">
        <v>13.78</v>
      </c>
      <c r="F351" s="490">
        <f t="shared" si="92"/>
        <v>3100.5</v>
      </c>
      <c r="G351" s="483">
        <v>0</v>
      </c>
      <c r="H351" s="433">
        <v>0</v>
      </c>
      <c r="I351" s="435">
        <f t="shared" si="99"/>
        <v>0</v>
      </c>
      <c r="J351" s="433">
        <f t="shared" si="100"/>
        <v>225</v>
      </c>
      <c r="K351" s="433">
        <f t="shared" si="96"/>
        <v>3100.5</v>
      </c>
      <c r="L351" s="435">
        <f t="shared" si="97"/>
        <v>1</v>
      </c>
      <c r="M351" s="420"/>
      <c r="N351" s="420">
        <f t="shared" si="102"/>
        <v>3100.5</v>
      </c>
      <c r="O351" s="420">
        <f t="shared" si="98"/>
        <v>0</v>
      </c>
      <c r="P351" s="420"/>
      <c r="R351" s="420"/>
    </row>
    <row r="352" spans="1:18" s="402" customFormat="1" ht="78.75" x14ac:dyDescent="0.2">
      <c r="A352" s="414">
        <v>200611</v>
      </c>
      <c r="B352" s="432" t="s">
        <v>859</v>
      </c>
      <c r="C352" s="433" t="s">
        <v>35</v>
      </c>
      <c r="D352" s="433">
        <v>15.07</v>
      </c>
      <c r="E352" s="433">
        <v>571.41999999999996</v>
      </c>
      <c r="F352" s="490">
        <f t="shared" si="92"/>
        <v>8611.2999999999993</v>
      </c>
      <c r="G352" s="483">
        <v>0</v>
      </c>
      <c r="H352" s="433">
        <v>0</v>
      </c>
      <c r="I352" s="435">
        <f t="shared" si="99"/>
        <v>0</v>
      </c>
      <c r="J352" s="433">
        <f t="shared" si="100"/>
        <v>15.07</v>
      </c>
      <c r="K352" s="433">
        <f t="shared" si="96"/>
        <v>8611.2999999999993</v>
      </c>
      <c r="L352" s="435">
        <f t="shared" si="97"/>
        <v>1</v>
      </c>
      <c r="M352" s="420"/>
      <c r="N352" s="420">
        <f t="shared" si="102"/>
        <v>8611.2999999999993</v>
      </c>
      <c r="O352" s="420">
        <f t="shared" si="98"/>
        <v>0</v>
      </c>
      <c r="P352" s="420"/>
      <c r="R352" s="420"/>
    </row>
    <row r="353" spans="1:18" s="402" customFormat="1" ht="78.75" x14ac:dyDescent="0.2">
      <c r="A353" s="414">
        <v>200612</v>
      </c>
      <c r="B353" s="432" t="s">
        <v>478</v>
      </c>
      <c r="C353" s="433" t="s">
        <v>35</v>
      </c>
      <c r="D353" s="433">
        <v>25.35</v>
      </c>
      <c r="E353" s="433">
        <v>91.62</v>
      </c>
      <c r="F353" s="490">
        <f t="shared" si="92"/>
        <v>2322.5700000000002</v>
      </c>
      <c r="G353" s="483">
        <v>0</v>
      </c>
      <c r="H353" s="433">
        <v>0</v>
      </c>
      <c r="I353" s="435">
        <f t="shared" si="99"/>
        <v>0</v>
      </c>
      <c r="J353" s="433">
        <f t="shared" si="100"/>
        <v>25.35</v>
      </c>
      <c r="K353" s="433">
        <f t="shared" si="96"/>
        <v>2322.5700000000002</v>
      </c>
      <c r="L353" s="435">
        <f t="shared" si="97"/>
        <v>1</v>
      </c>
      <c r="M353" s="420"/>
      <c r="N353" s="420">
        <f t="shared" si="102"/>
        <v>2322.5700000000002</v>
      </c>
      <c r="O353" s="420">
        <f t="shared" si="98"/>
        <v>0</v>
      </c>
      <c r="P353" s="420"/>
      <c r="R353" s="420"/>
    </row>
    <row r="354" spans="1:18" s="402" customFormat="1" ht="79.5" customHeight="1" x14ac:dyDescent="0.2">
      <c r="A354" s="414">
        <v>200613</v>
      </c>
      <c r="B354" s="432" t="s">
        <v>530</v>
      </c>
      <c r="C354" s="433" t="s">
        <v>35</v>
      </c>
      <c r="D354" s="433">
        <v>123.71</v>
      </c>
      <c r="E354" s="433">
        <v>126.29</v>
      </c>
      <c r="F354" s="490">
        <f t="shared" si="92"/>
        <v>15623.34</v>
      </c>
      <c r="G354" s="483">
        <v>0</v>
      </c>
      <c r="H354" s="433">
        <v>0</v>
      </c>
      <c r="I354" s="435">
        <f t="shared" si="99"/>
        <v>0</v>
      </c>
      <c r="J354" s="433">
        <f t="shared" si="100"/>
        <v>123.71</v>
      </c>
      <c r="K354" s="433">
        <f t="shared" si="96"/>
        <v>15623.34</v>
      </c>
      <c r="L354" s="435">
        <f t="shared" si="97"/>
        <v>1</v>
      </c>
      <c r="M354" s="420"/>
      <c r="N354" s="420">
        <f t="shared" si="102"/>
        <v>15623.34</v>
      </c>
      <c r="O354" s="420">
        <f t="shared" si="98"/>
        <v>0</v>
      </c>
      <c r="P354" s="420"/>
      <c r="R354" s="420"/>
    </row>
    <row r="355" spans="1:18" s="402" customFormat="1" ht="31.5" x14ac:dyDescent="0.2">
      <c r="A355" s="414" t="s">
        <v>860</v>
      </c>
      <c r="B355" s="432" t="s">
        <v>861</v>
      </c>
      <c r="C355" s="433" t="s">
        <v>35</v>
      </c>
      <c r="D355" s="433">
        <v>123.71</v>
      </c>
      <c r="E355" s="433">
        <v>73.099999999999994</v>
      </c>
      <c r="F355" s="490">
        <f t="shared" si="92"/>
        <v>9043.2000000000007</v>
      </c>
      <c r="G355" s="483">
        <v>0</v>
      </c>
      <c r="H355" s="433">
        <v>0</v>
      </c>
      <c r="I355" s="435">
        <f t="shared" si="99"/>
        <v>0</v>
      </c>
      <c r="J355" s="433">
        <f t="shared" si="100"/>
        <v>123.71</v>
      </c>
      <c r="K355" s="433">
        <f t="shared" si="96"/>
        <v>9043.2000000000007</v>
      </c>
      <c r="L355" s="435">
        <f t="shared" si="97"/>
        <v>1</v>
      </c>
      <c r="M355" s="420"/>
      <c r="N355" s="420">
        <f t="shared" si="102"/>
        <v>9043.2000000000007</v>
      </c>
      <c r="O355" s="420">
        <f t="shared" si="98"/>
        <v>0</v>
      </c>
      <c r="P355" s="420"/>
      <c r="R355" s="420"/>
    </row>
    <row r="356" spans="1:18" s="402" customFormat="1" ht="15.75" x14ac:dyDescent="0.2">
      <c r="A356" s="414" t="s">
        <v>862</v>
      </c>
      <c r="B356" s="432" t="s">
        <v>863</v>
      </c>
      <c r="C356" s="433" t="s">
        <v>26</v>
      </c>
      <c r="D356" s="433">
        <v>50.7</v>
      </c>
      <c r="E356" s="433">
        <v>63.55</v>
      </c>
      <c r="F356" s="490">
        <f t="shared" si="92"/>
        <v>3221.99</v>
      </c>
      <c r="G356" s="483">
        <v>0</v>
      </c>
      <c r="H356" s="433">
        <v>0</v>
      </c>
      <c r="I356" s="435">
        <f t="shared" si="99"/>
        <v>0</v>
      </c>
      <c r="J356" s="433">
        <f t="shared" si="100"/>
        <v>50.7</v>
      </c>
      <c r="K356" s="433">
        <f t="shared" si="96"/>
        <v>3221.99</v>
      </c>
      <c r="L356" s="435">
        <f t="shared" si="97"/>
        <v>1</v>
      </c>
      <c r="M356" s="420"/>
      <c r="N356" s="420">
        <f t="shared" si="102"/>
        <v>3221.99</v>
      </c>
      <c r="O356" s="420">
        <f t="shared" si="98"/>
        <v>0</v>
      </c>
      <c r="P356" s="420"/>
      <c r="R356" s="420"/>
    </row>
    <row r="357" spans="1:18" s="402" customFormat="1" ht="63" x14ac:dyDescent="0.2">
      <c r="A357" s="414" t="s">
        <v>864</v>
      </c>
      <c r="B357" s="432" t="s">
        <v>543</v>
      </c>
      <c r="C357" s="433" t="s">
        <v>35</v>
      </c>
      <c r="D357" s="433">
        <v>5.84</v>
      </c>
      <c r="E357" s="433">
        <v>346.72</v>
      </c>
      <c r="F357" s="490">
        <f t="shared" si="92"/>
        <v>2024.84</v>
      </c>
      <c r="G357" s="483">
        <v>0</v>
      </c>
      <c r="H357" s="433">
        <v>0</v>
      </c>
      <c r="I357" s="435">
        <f t="shared" si="99"/>
        <v>0</v>
      </c>
      <c r="J357" s="433">
        <f t="shared" si="100"/>
        <v>5.84</v>
      </c>
      <c r="K357" s="433">
        <f t="shared" si="96"/>
        <v>2024.84</v>
      </c>
      <c r="L357" s="435">
        <f t="shared" si="97"/>
        <v>1</v>
      </c>
      <c r="M357" s="420"/>
      <c r="N357" s="420">
        <f t="shared" si="102"/>
        <v>2024.84</v>
      </c>
      <c r="O357" s="420">
        <f t="shared" si="98"/>
        <v>0</v>
      </c>
      <c r="P357" s="420"/>
      <c r="R357" s="420"/>
    </row>
    <row r="358" spans="1:18" s="402" customFormat="1" ht="31.5" x14ac:dyDescent="0.2">
      <c r="A358" s="414" t="s">
        <v>865</v>
      </c>
      <c r="B358" s="432" t="s">
        <v>565</v>
      </c>
      <c r="C358" s="433" t="s">
        <v>35</v>
      </c>
      <c r="D358" s="433">
        <v>367.6</v>
      </c>
      <c r="E358" s="433">
        <v>8.17</v>
      </c>
      <c r="F358" s="490">
        <f t="shared" si="92"/>
        <v>3003.29</v>
      </c>
      <c r="G358" s="483">
        <v>0</v>
      </c>
      <c r="H358" s="433">
        <v>0</v>
      </c>
      <c r="I358" s="435">
        <f t="shared" si="99"/>
        <v>0</v>
      </c>
      <c r="J358" s="433">
        <f t="shared" si="100"/>
        <v>367.6</v>
      </c>
      <c r="K358" s="433">
        <f t="shared" si="96"/>
        <v>3003.29</v>
      </c>
      <c r="L358" s="435">
        <f t="shared" si="97"/>
        <v>1</v>
      </c>
      <c r="M358" s="420"/>
      <c r="N358" s="420">
        <f t="shared" si="102"/>
        <v>3003.29</v>
      </c>
      <c r="O358" s="420">
        <f t="shared" si="98"/>
        <v>0</v>
      </c>
      <c r="P358" s="420"/>
      <c r="R358" s="420"/>
    </row>
    <row r="359" spans="1:18" s="402" customFormat="1" ht="47.25" x14ac:dyDescent="0.2">
      <c r="A359" s="414" t="s">
        <v>866</v>
      </c>
      <c r="B359" s="432" t="s">
        <v>579</v>
      </c>
      <c r="C359" s="433" t="s">
        <v>35</v>
      </c>
      <c r="D359" s="433">
        <v>367.6</v>
      </c>
      <c r="E359" s="433">
        <v>64.739999999999995</v>
      </c>
      <c r="F359" s="490">
        <f t="shared" si="92"/>
        <v>23798.42</v>
      </c>
      <c r="G359" s="483">
        <v>0</v>
      </c>
      <c r="H359" s="433">
        <v>0</v>
      </c>
      <c r="I359" s="435">
        <f t="shared" si="99"/>
        <v>0</v>
      </c>
      <c r="J359" s="433">
        <f t="shared" si="100"/>
        <v>367.6</v>
      </c>
      <c r="K359" s="433">
        <f t="shared" si="96"/>
        <v>23798.42</v>
      </c>
      <c r="L359" s="435">
        <f t="shared" si="97"/>
        <v>1</v>
      </c>
      <c r="M359" s="420"/>
      <c r="N359" s="420">
        <f t="shared" si="102"/>
        <v>23798.42</v>
      </c>
      <c r="O359" s="420">
        <f t="shared" si="98"/>
        <v>0</v>
      </c>
      <c r="P359" s="420"/>
      <c r="R359" s="420"/>
    </row>
    <row r="360" spans="1:18" s="402" customFormat="1" ht="31.5" x14ac:dyDescent="0.2">
      <c r="A360" s="414" t="s">
        <v>867</v>
      </c>
      <c r="B360" s="432" t="s">
        <v>868</v>
      </c>
      <c r="C360" s="433" t="s">
        <v>26</v>
      </c>
      <c r="D360" s="433">
        <v>50.7</v>
      </c>
      <c r="E360" s="433">
        <v>12.5</v>
      </c>
      <c r="F360" s="490">
        <f t="shared" si="92"/>
        <v>633.75</v>
      </c>
      <c r="G360" s="483">
        <v>0</v>
      </c>
      <c r="H360" s="433">
        <v>0</v>
      </c>
      <c r="I360" s="435">
        <f t="shared" si="99"/>
        <v>0</v>
      </c>
      <c r="J360" s="433">
        <f t="shared" si="100"/>
        <v>50.7</v>
      </c>
      <c r="K360" s="433">
        <f t="shared" si="96"/>
        <v>633.75</v>
      </c>
      <c r="L360" s="435">
        <f t="shared" si="97"/>
        <v>1</v>
      </c>
      <c r="M360" s="420"/>
      <c r="N360" s="420">
        <f t="shared" si="102"/>
        <v>633.75</v>
      </c>
      <c r="O360" s="420">
        <f t="shared" si="98"/>
        <v>0</v>
      </c>
      <c r="P360" s="420"/>
      <c r="R360" s="420"/>
    </row>
    <row r="361" spans="1:18" s="402" customFormat="1" ht="31.5" x14ac:dyDescent="0.2">
      <c r="A361" s="414" t="s">
        <v>869</v>
      </c>
      <c r="B361" s="432" t="s">
        <v>870</v>
      </c>
      <c r="C361" s="433" t="s">
        <v>35</v>
      </c>
      <c r="D361" s="433">
        <v>367.6</v>
      </c>
      <c r="E361" s="433">
        <v>24.08</v>
      </c>
      <c r="F361" s="490">
        <f t="shared" si="92"/>
        <v>8851.81</v>
      </c>
      <c r="G361" s="483">
        <v>0</v>
      </c>
      <c r="H361" s="433">
        <v>0</v>
      </c>
      <c r="I361" s="435">
        <f t="shared" si="99"/>
        <v>0</v>
      </c>
      <c r="J361" s="433">
        <f t="shared" si="100"/>
        <v>367.6</v>
      </c>
      <c r="K361" s="433">
        <f t="shared" si="96"/>
        <v>8851.81</v>
      </c>
      <c r="L361" s="435">
        <f t="shared" si="97"/>
        <v>1</v>
      </c>
      <c r="M361" s="420"/>
      <c r="N361" s="420">
        <f t="shared" si="102"/>
        <v>8851.81</v>
      </c>
      <c r="O361" s="420">
        <f t="shared" si="98"/>
        <v>0</v>
      </c>
      <c r="P361" s="420"/>
      <c r="R361" s="420"/>
    </row>
    <row r="362" spans="1:18" s="402" customFormat="1" ht="31.5" x14ac:dyDescent="0.2">
      <c r="A362" s="414" t="s">
        <v>871</v>
      </c>
      <c r="B362" s="432" t="s">
        <v>619</v>
      </c>
      <c r="C362" s="433" t="s">
        <v>26</v>
      </c>
      <c r="D362" s="433">
        <v>6</v>
      </c>
      <c r="E362" s="433">
        <v>28.51</v>
      </c>
      <c r="F362" s="490">
        <f t="shared" si="92"/>
        <v>171.06</v>
      </c>
      <c r="G362" s="483">
        <v>0</v>
      </c>
      <c r="H362" s="433">
        <v>0</v>
      </c>
      <c r="I362" s="435">
        <f t="shared" si="99"/>
        <v>0</v>
      </c>
      <c r="J362" s="433">
        <f t="shared" si="100"/>
        <v>6</v>
      </c>
      <c r="K362" s="433">
        <f t="shared" si="96"/>
        <v>171.06</v>
      </c>
      <c r="L362" s="435">
        <f t="shared" si="97"/>
        <v>1</v>
      </c>
      <c r="M362" s="420"/>
      <c r="N362" s="420">
        <f t="shared" si="102"/>
        <v>171.06</v>
      </c>
      <c r="O362" s="420">
        <f t="shared" si="98"/>
        <v>0</v>
      </c>
      <c r="P362" s="420"/>
      <c r="R362" s="420"/>
    </row>
    <row r="363" spans="1:18" s="402" customFormat="1" ht="47.25" x14ac:dyDescent="0.2">
      <c r="A363" s="414" t="s">
        <v>872</v>
      </c>
      <c r="B363" s="432" t="s">
        <v>697</v>
      </c>
      <c r="C363" s="433" t="s">
        <v>23</v>
      </c>
      <c r="D363" s="433">
        <v>8</v>
      </c>
      <c r="E363" s="433">
        <v>219.44</v>
      </c>
      <c r="F363" s="490">
        <f t="shared" si="92"/>
        <v>1755.52</v>
      </c>
      <c r="G363" s="483">
        <v>0</v>
      </c>
      <c r="H363" s="433">
        <v>0</v>
      </c>
      <c r="I363" s="435">
        <f t="shared" si="99"/>
        <v>0</v>
      </c>
      <c r="J363" s="433">
        <f t="shared" si="100"/>
        <v>8</v>
      </c>
      <c r="K363" s="433">
        <f t="shared" si="96"/>
        <v>1755.52</v>
      </c>
      <c r="L363" s="435">
        <f t="shared" ref="L363:L394" si="103">IF(F363=0,0,K363/F363)</f>
        <v>1</v>
      </c>
      <c r="M363" s="420"/>
      <c r="N363" s="420">
        <f t="shared" si="102"/>
        <v>1755.52</v>
      </c>
      <c r="O363" s="420">
        <f t="shared" si="98"/>
        <v>0</v>
      </c>
      <c r="P363" s="420"/>
      <c r="R363" s="420"/>
    </row>
    <row r="364" spans="1:18" s="402" customFormat="1" ht="55.5" customHeight="1" x14ac:dyDescent="0.2">
      <c r="A364" s="414" t="s">
        <v>873</v>
      </c>
      <c r="B364" s="462" t="s">
        <v>874</v>
      </c>
      <c r="C364" s="433" t="s">
        <v>23</v>
      </c>
      <c r="D364" s="433">
        <v>8</v>
      </c>
      <c r="E364" s="433">
        <v>102.8</v>
      </c>
      <c r="F364" s="490">
        <f t="shared" si="92"/>
        <v>822.4</v>
      </c>
      <c r="G364" s="483">
        <v>0</v>
      </c>
      <c r="H364" s="433">
        <v>0</v>
      </c>
      <c r="I364" s="435">
        <f t="shared" si="99"/>
        <v>0</v>
      </c>
      <c r="J364" s="433">
        <f t="shared" si="100"/>
        <v>8</v>
      </c>
      <c r="K364" s="433">
        <f t="shared" si="96"/>
        <v>822.4</v>
      </c>
      <c r="L364" s="435">
        <f t="shared" si="103"/>
        <v>1</v>
      </c>
      <c r="M364" s="420"/>
      <c r="N364" s="420">
        <f t="shared" si="102"/>
        <v>822.4</v>
      </c>
      <c r="O364" s="420">
        <f t="shared" si="98"/>
        <v>0</v>
      </c>
      <c r="P364" s="420"/>
      <c r="R364" s="420"/>
    </row>
    <row r="365" spans="1:18" s="402" customFormat="1" ht="44.25" customHeight="1" x14ac:dyDescent="0.2">
      <c r="A365" s="414" t="s">
        <v>875</v>
      </c>
      <c r="B365" s="432" t="s">
        <v>876</v>
      </c>
      <c r="C365" s="433" t="s">
        <v>23</v>
      </c>
      <c r="D365" s="433">
        <v>1</v>
      </c>
      <c r="E365" s="433">
        <v>24.82</v>
      </c>
      <c r="F365" s="490">
        <f t="shared" si="92"/>
        <v>24.82</v>
      </c>
      <c r="G365" s="483">
        <v>0</v>
      </c>
      <c r="H365" s="433">
        <v>0</v>
      </c>
      <c r="I365" s="435">
        <f t="shared" si="99"/>
        <v>0</v>
      </c>
      <c r="J365" s="433">
        <f t="shared" si="100"/>
        <v>1</v>
      </c>
      <c r="K365" s="433">
        <f t="shared" si="96"/>
        <v>24.82</v>
      </c>
      <c r="L365" s="435">
        <f t="shared" si="103"/>
        <v>1</v>
      </c>
      <c r="M365" s="420"/>
      <c r="N365" s="420">
        <f t="shared" si="102"/>
        <v>24.82</v>
      </c>
      <c r="O365" s="420">
        <f t="shared" si="98"/>
        <v>0</v>
      </c>
      <c r="P365" s="420"/>
      <c r="R365" s="420"/>
    </row>
    <row r="366" spans="1:18" s="402" customFormat="1" ht="47.25" x14ac:dyDescent="0.2">
      <c r="A366" s="414" t="s">
        <v>877</v>
      </c>
      <c r="B366" s="432" t="s">
        <v>784</v>
      </c>
      <c r="C366" s="433" t="s">
        <v>35</v>
      </c>
      <c r="D366" s="433">
        <v>367.6</v>
      </c>
      <c r="E366" s="433">
        <v>15.27</v>
      </c>
      <c r="F366" s="490">
        <f t="shared" si="92"/>
        <v>5613.25</v>
      </c>
      <c r="G366" s="483">
        <v>367.6</v>
      </c>
      <c r="H366" s="433">
        <v>5613.2520000000004</v>
      </c>
      <c r="I366" s="435">
        <f t="shared" si="99"/>
        <v>1.0000003562998263</v>
      </c>
      <c r="J366" s="433">
        <f t="shared" si="100"/>
        <v>0</v>
      </c>
      <c r="K366" s="433">
        <f t="shared" si="96"/>
        <v>0</v>
      </c>
      <c r="L366" s="435">
        <f t="shared" si="103"/>
        <v>0</v>
      </c>
      <c r="M366" s="420"/>
      <c r="N366" s="420">
        <f t="shared" si="102"/>
        <v>0</v>
      </c>
      <c r="O366" s="420">
        <f t="shared" si="98"/>
        <v>0</v>
      </c>
      <c r="P366" s="420"/>
      <c r="R366" s="420"/>
    </row>
    <row r="367" spans="1:18" s="402" customFormat="1" ht="47.25" x14ac:dyDescent="0.2">
      <c r="A367" s="414" t="s">
        <v>878</v>
      </c>
      <c r="B367" s="432" t="s">
        <v>847</v>
      </c>
      <c r="C367" s="433" t="s">
        <v>35</v>
      </c>
      <c r="D367" s="433">
        <v>367.6</v>
      </c>
      <c r="E367" s="433">
        <v>29.66</v>
      </c>
      <c r="F367" s="490">
        <f t="shared" si="92"/>
        <v>10903.02</v>
      </c>
      <c r="G367" s="483">
        <v>367.6</v>
      </c>
      <c r="H367" s="433">
        <v>10903.016000000001</v>
      </c>
      <c r="I367" s="435">
        <f t="shared" si="99"/>
        <v>0.99999963312916984</v>
      </c>
      <c r="J367" s="433">
        <f t="shared" si="100"/>
        <v>0</v>
      </c>
      <c r="K367" s="433">
        <f t="shared" si="96"/>
        <v>0</v>
      </c>
      <c r="L367" s="435">
        <f t="shared" si="103"/>
        <v>0</v>
      </c>
      <c r="M367" s="420"/>
      <c r="N367" s="420">
        <f>31424.68+5238</f>
        <v>36662.68</v>
      </c>
      <c r="O367" s="420">
        <f t="shared" si="98"/>
        <v>-36662.68</v>
      </c>
      <c r="P367" s="420">
        <f>N367*1.3</f>
        <v>47661.484000000004</v>
      </c>
      <c r="R367" s="420"/>
    </row>
    <row r="368" spans="1:18" s="402" customFormat="1" ht="31.5" x14ac:dyDescent="0.2">
      <c r="A368" s="414" t="s">
        <v>879</v>
      </c>
      <c r="B368" s="432" t="s">
        <v>538</v>
      </c>
      <c r="C368" s="433" t="s">
        <v>26</v>
      </c>
      <c r="D368" s="433">
        <v>50.7</v>
      </c>
      <c r="E368" s="433">
        <v>185.05</v>
      </c>
      <c r="F368" s="490">
        <f t="shared" si="92"/>
        <v>9382.0400000000009</v>
      </c>
      <c r="G368" s="483">
        <v>0</v>
      </c>
      <c r="H368" s="433">
        <v>0</v>
      </c>
      <c r="I368" s="435">
        <f t="shared" si="99"/>
        <v>0</v>
      </c>
      <c r="J368" s="433">
        <f t="shared" si="100"/>
        <v>50.7</v>
      </c>
      <c r="K368" s="433">
        <f t="shared" si="96"/>
        <v>9382.0400000000009</v>
      </c>
      <c r="L368" s="435">
        <f t="shared" si="103"/>
        <v>1</v>
      </c>
      <c r="M368" s="420"/>
      <c r="N368" s="420">
        <f>7513.52+4733+3132</f>
        <v>15378.52</v>
      </c>
      <c r="O368" s="420">
        <f t="shared" si="98"/>
        <v>-5996.48</v>
      </c>
      <c r="P368" s="420">
        <f>N368*1.3</f>
        <v>19992.076000000001</v>
      </c>
      <c r="R368" s="420"/>
    </row>
    <row r="369" spans="1:21" ht="15.75" x14ac:dyDescent="0.2">
      <c r="A369" s="436"/>
      <c r="B369" s="422" t="s">
        <v>304</v>
      </c>
      <c r="C369" s="424"/>
      <c r="D369" s="424"/>
      <c r="E369" s="424"/>
      <c r="F369" s="427">
        <f>SUM(F309:F368)</f>
        <v>860347.49</v>
      </c>
      <c r="G369" s="428">
        <v>0</v>
      </c>
      <c r="H369" s="425">
        <v>683400.9821749999</v>
      </c>
      <c r="I369" s="429">
        <f>IF($F$369=0,0,H369/$F$369)</f>
        <v>0.79433134880767764</v>
      </c>
      <c r="J369" s="430">
        <f t="shared" si="100"/>
        <v>0</v>
      </c>
      <c r="K369" s="425">
        <f>SUM(K309:K368)</f>
        <v>176946.52</v>
      </c>
      <c r="L369" s="429">
        <f t="shared" si="103"/>
        <v>0.20566866534358111</v>
      </c>
      <c r="M369" s="420"/>
      <c r="N369" s="420"/>
      <c r="O369" s="420">
        <f t="shared" si="98"/>
        <v>176946.52</v>
      </c>
      <c r="P369" s="420"/>
      <c r="R369" s="420"/>
      <c r="U369" s="386">
        <v>0</v>
      </c>
    </row>
    <row r="370" spans="1:21" ht="15.75" x14ac:dyDescent="0.2">
      <c r="A370" s="436"/>
      <c r="B370" s="422"/>
      <c r="C370" s="424"/>
      <c r="D370" s="424"/>
      <c r="E370" s="424"/>
      <c r="F370" s="427"/>
      <c r="G370" s="428">
        <v>0</v>
      </c>
      <c r="H370" s="424"/>
      <c r="I370" s="429"/>
      <c r="J370" s="430">
        <f t="shared" si="100"/>
        <v>0</v>
      </c>
      <c r="K370" s="426"/>
      <c r="L370" s="431">
        <f t="shared" si="103"/>
        <v>0</v>
      </c>
      <c r="M370" s="420"/>
      <c r="N370" s="420"/>
      <c r="O370" s="420">
        <f t="shared" si="98"/>
        <v>0</v>
      </c>
      <c r="P370" s="420"/>
      <c r="R370" s="420"/>
      <c r="U370" s="386">
        <v>0</v>
      </c>
    </row>
    <row r="371" spans="1:21" ht="15.75" x14ac:dyDescent="0.2">
      <c r="A371" s="421" t="s">
        <v>880</v>
      </c>
      <c r="B371" s="422" t="s">
        <v>881</v>
      </c>
      <c r="C371" s="424">
        <v>0</v>
      </c>
      <c r="D371" s="424">
        <v>0</v>
      </c>
      <c r="E371" s="424">
        <v>0</v>
      </c>
      <c r="F371" s="491">
        <f t="shared" ref="F371" si="104">D371*E371</f>
        <v>0</v>
      </c>
      <c r="G371" s="428">
        <v>0</v>
      </c>
      <c r="H371" s="424"/>
      <c r="I371" s="431">
        <f t="shared" ref="I371:I376" si="105">IF(F371=0,0,H371/F371)</f>
        <v>0</v>
      </c>
      <c r="J371" s="430">
        <f t="shared" si="100"/>
        <v>0</v>
      </c>
      <c r="K371" s="424"/>
      <c r="L371" s="431">
        <f t="shared" si="103"/>
        <v>0</v>
      </c>
      <c r="M371" s="420"/>
      <c r="N371" s="420"/>
      <c r="O371" s="420">
        <f t="shared" si="98"/>
        <v>0</v>
      </c>
      <c r="P371" s="420"/>
      <c r="R371" s="420"/>
      <c r="U371" s="386">
        <v>0</v>
      </c>
    </row>
    <row r="372" spans="1:21" s="413" customFormat="1" ht="31.5" x14ac:dyDescent="0.2">
      <c r="A372" s="414" t="s">
        <v>882</v>
      </c>
      <c r="B372" s="432" t="s">
        <v>883</v>
      </c>
      <c r="C372" s="433" t="s">
        <v>35</v>
      </c>
      <c r="D372" s="433">
        <v>2.5299999999999998</v>
      </c>
      <c r="E372" s="433">
        <v>2283.5700000000002</v>
      </c>
      <c r="F372" s="490">
        <f t="shared" ref="F372:F375" si="106">ROUND((E372*D372),2)</f>
        <v>5777.43</v>
      </c>
      <c r="G372" s="483">
        <v>0</v>
      </c>
      <c r="H372" s="433">
        <v>0</v>
      </c>
      <c r="I372" s="435">
        <f t="shared" si="105"/>
        <v>0</v>
      </c>
      <c r="J372" s="433">
        <f t="shared" si="100"/>
        <v>2.5299999999999998</v>
      </c>
      <c r="K372" s="433">
        <f>ROUND((J372*E372),2)</f>
        <v>5777.43</v>
      </c>
      <c r="L372" s="435">
        <f t="shared" si="103"/>
        <v>1</v>
      </c>
      <c r="M372" s="420"/>
      <c r="N372" s="420"/>
      <c r="O372" s="420">
        <f t="shared" si="98"/>
        <v>5777.43</v>
      </c>
      <c r="P372" s="420"/>
      <c r="R372" s="420"/>
      <c r="U372" s="413">
        <v>0</v>
      </c>
    </row>
    <row r="373" spans="1:21" s="413" customFormat="1" ht="31.5" x14ac:dyDescent="0.2">
      <c r="A373" s="414" t="s">
        <v>884</v>
      </c>
      <c r="B373" s="432" t="s">
        <v>818</v>
      </c>
      <c r="C373" s="433" t="s">
        <v>26</v>
      </c>
      <c r="D373" s="433">
        <v>3.6</v>
      </c>
      <c r="E373" s="433">
        <v>106.65</v>
      </c>
      <c r="F373" s="490">
        <f t="shared" si="106"/>
        <v>383.94</v>
      </c>
      <c r="G373" s="483">
        <v>3.6</v>
      </c>
      <c r="H373" s="433">
        <v>383.94000000000005</v>
      </c>
      <c r="I373" s="435">
        <f t="shared" si="105"/>
        <v>1.0000000000000002</v>
      </c>
      <c r="J373" s="433">
        <f t="shared" ref="J373:J396" si="107">D373-G373</f>
        <v>0</v>
      </c>
      <c r="K373" s="433">
        <f>ROUND((J373*E373),2)</f>
        <v>0</v>
      </c>
      <c r="L373" s="435">
        <f t="shared" si="103"/>
        <v>0</v>
      </c>
      <c r="M373" s="420"/>
      <c r="N373" s="420"/>
      <c r="O373" s="420">
        <f t="shared" si="98"/>
        <v>0</v>
      </c>
      <c r="P373" s="420"/>
      <c r="R373" s="420"/>
      <c r="U373" s="413">
        <v>0</v>
      </c>
    </row>
    <row r="374" spans="1:21" s="402" customFormat="1" ht="31.5" x14ac:dyDescent="0.2">
      <c r="A374" s="414" t="s">
        <v>885</v>
      </c>
      <c r="B374" s="432" t="s">
        <v>820</v>
      </c>
      <c r="C374" s="433" t="s">
        <v>26</v>
      </c>
      <c r="D374" s="433">
        <v>3.6</v>
      </c>
      <c r="E374" s="433">
        <v>309.42</v>
      </c>
      <c r="F374" s="490">
        <f t="shared" si="106"/>
        <v>1113.9100000000001</v>
      </c>
      <c r="G374" s="483">
        <v>3.6</v>
      </c>
      <c r="H374" s="433">
        <v>1113.912</v>
      </c>
      <c r="I374" s="435">
        <f t="shared" si="105"/>
        <v>1.0000017954771929</v>
      </c>
      <c r="J374" s="433">
        <f t="shared" si="107"/>
        <v>0</v>
      </c>
      <c r="K374" s="433">
        <f>ROUND((J374*E374),2)</f>
        <v>0</v>
      </c>
      <c r="L374" s="435">
        <f t="shared" si="103"/>
        <v>0</v>
      </c>
      <c r="M374" s="420"/>
      <c r="N374" s="420"/>
      <c r="O374" s="420">
        <f t="shared" si="98"/>
        <v>0</v>
      </c>
      <c r="P374" s="420"/>
      <c r="R374" s="420"/>
      <c r="U374" s="402">
        <v>0</v>
      </c>
    </row>
    <row r="375" spans="1:21" s="402" customFormat="1" ht="15.75" x14ac:dyDescent="0.2">
      <c r="A375" s="414" t="s">
        <v>886</v>
      </c>
      <c r="B375" s="432" t="s">
        <v>887</v>
      </c>
      <c r="C375" s="433" t="s">
        <v>35</v>
      </c>
      <c r="D375" s="433">
        <v>31.42</v>
      </c>
      <c r="E375" s="433">
        <v>966.82</v>
      </c>
      <c r="F375" s="490">
        <f t="shared" si="106"/>
        <v>30377.48</v>
      </c>
      <c r="G375" s="483">
        <v>31.42</v>
      </c>
      <c r="H375" s="433">
        <v>30377.484400000005</v>
      </c>
      <c r="I375" s="435">
        <f t="shared" si="105"/>
        <v>1.0000001448441413</v>
      </c>
      <c r="J375" s="433">
        <f t="shared" si="107"/>
        <v>0</v>
      </c>
      <c r="K375" s="433">
        <f>ROUND((J375*E375),2)</f>
        <v>0</v>
      </c>
      <c r="L375" s="435">
        <f t="shared" si="103"/>
        <v>0</v>
      </c>
      <c r="M375" s="420"/>
      <c r="N375" s="420"/>
      <c r="O375" s="420">
        <f t="shared" si="98"/>
        <v>0</v>
      </c>
      <c r="P375" s="420"/>
      <c r="R375" s="420"/>
    </row>
    <row r="376" spans="1:21" ht="15.75" x14ac:dyDescent="0.2">
      <c r="A376" s="436"/>
      <c r="B376" s="422" t="s">
        <v>306</v>
      </c>
      <c r="C376" s="424"/>
      <c r="D376" s="424"/>
      <c r="E376" s="424"/>
      <c r="F376" s="427">
        <f>SUM(F372:F375)</f>
        <v>37652.76</v>
      </c>
      <c r="G376" s="428">
        <v>0</v>
      </c>
      <c r="H376" s="425">
        <v>31875.336400000004</v>
      </c>
      <c r="I376" s="429">
        <f t="shared" si="105"/>
        <v>0.84656042213107363</v>
      </c>
      <c r="J376" s="430">
        <f t="shared" si="107"/>
        <v>0</v>
      </c>
      <c r="K376" s="425">
        <f>SUM(K372:K375)</f>
        <v>5777.43</v>
      </c>
      <c r="L376" s="429">
        <f t="shared" si="103"/>
        <v>0.15343974784318601</v>
      </c>
      <c r="M376" s="420"/>
      <c r="N376" s="420"/>
      <c r="O376" s="420">
        <f t="shared" si="98"/>
        <v>5777.43</v>
      </c>
      <c r="P376" s="420"/>
      <c r="R376" s="420"/>
      <c r="U376" s="386">
        <v>0</v>
      </c>
    </row>
    <row r="377" spans="1:21" ht="15.75" x14ac:dyDescent="0.2">
      <c r="A377" s="436"/>
      <c r="B377" s="422"/>
      <c r="C377" s="424"/>
      <c r="D377" s="424"/>
      <c r="E377" s="424"/>
      <c r="F377" s="427"/>
      <c r="G377" s="428">
        <v>0</v>
      </c>
      <c r="H377" s="424"/>
      <c r="I377" s="429"/>
      <c r="J377" s="430">
        <f t="shared" si="107"/>
        <v>0</v>
      </c>
      <c r="K377" s="426"/>
      <c r="L377" s="431">
        <f t="shared" si="103"/>
        <v>0</v>
      </c>
      <c r="M377" s="420"/>
      <c r="N377" s="420"/>
      <c r="O377" s="420">
        <f t="shared" si="98"/>
        <v>0</v>
      </c>
      <c r="P377" s="420"/>
      <c r="R377" s="420"/>
      <c r="U377" s="386">
        <v>0</v>
      </c>
    </row>
    <row r="378" spans="1:21" ht="15.75" x14ac:dyDescent="0.2">
      <c r="A378" s="421" t="s">
        <v>888</v>
      </c>
      <c r="B378" s="422" t="s">
        <v>889</v>
      </c>
      <c r="C378" s="424">
        <v>0</v>
      </c>
      <c r="D378" s="424">
        <v>0</v>
      </c>
      <c r="E378" s="424">
        <v>0</v>
      </c>
      <c r="F378" s="491">
        <f t="shared" ref="F378" si="108">D378*E378</f>
        <v>0</v>
      </c>
      <c r="G378" s="428">
        <v>0</v>
      </c>
      <c r="H378" s="424"/>
      <c r="I378" s="431">
        <f t="shared" ref="I378:I396" si="109">IF(F378=0,0,H378/F378)</f>
        <v>0</v>
      </c>
      <c r="J378" s="430">
        <f t="shared" si="107"/>
        <v>0</v>
      </c>
      <c r="K378" s="424"/>
      <c r="L378" s="431">
        <f t="shared" si="103"/>
        <v>0</v>
      </c>
      <c r="M378" s="420"/>
      <c r="N378" s="420"/>
      <c r="O378" s="420">
        <f t="shared" si="98"/>
        <v>0</v>
      </c>
      <c r="P378" s="420"/>
      <c r="R378" s="420"/>
      <c r="U378" s="386">
        <v>0</v>
      </c>
    </row>
    <row r="379" spans="1:21" s="402" customFormat="1" ht="74.25" customHeight="1" x14ac:dyDescent="0.2">
      <c r="A379" s="414" t="s">
        <v>890</v>
      </c>
      <c r="B379" s="432" t="s">
        <v>891</v>
      </c>
      <c r="C379" s="433" t="s">
        <v>35</v>
      </c>
      <c r="D379" s="433">
        <v>18.8</v>
      </c>
      <c r="E379" s="433">
        <v>95.13</v>
      </c>
      <c r="F379" s="490">
        <f t="shared" ref="F379:F395" si="110">ROUND((E379*D379),2)</f>
        <v>1788.44</v>
      </c>
      <c r="G379" s="483">
        <v>0</v>
      </c>
      <c r="H379" s="433">
        <v>0</v>
      </c>
      <c r="I379" s="435">
        <f t="shared" si="109"/>
        <v>0</v>
      </c>
      <c r="J379" s="433">
        <f t="shared" si="107"/>
        <v>18.8</v>
      </c>
      <c r="K379" s="433">
        <f t="shared" ref="K379:K395" si="111">ROUND((J379*E379),2)</f>
        <v>1788.44</v>
      </c>
      <c r="L379" s="435">
        <f t="shared" si="103"/>
        <v>1</v>
      </c>
      <c r="M379" s="420"/>
      <c r="N379" s="420"/>
      <c r="O379" s="420">
        <f t="shared" si="98"/>
        <v>1788.44</v>
      </c>
      <c r="P379" s="420"/>
      <c r="R379" s="420"/>
    </row>
    <row r="380" spans="1:21" s="402" customFormat="1" ht="31.5" x14ac:dyDescent="0.2">
      <c r="A380" s="414" t="s">
        <v>892</v>
      </c>
      <c r="B380" s="432" t="s">
        <v>565</v>
      </c>
      <c r="C380" s="433" t="s">
        <v>35</v>
      </c>
      <c r="D380" s="433">
        <v>37.6</v>
      </c>
      <c r="E380" s="433">
        <v>8.17</v>
      </c>
      <c r="F380" s="490">
        <f t="shared" si="110"/>
        <v>307.19</v>
      </c>
      <c r="G380" s="483">
        <v>0</v>
      </c>
      <c r="H380" s="433">
        <v>0</v>
      </c>
      <c r="I380" s="435">
        <f t="shared" si="109"/>
        <v>0</v>
      </c>
      <c r="J380" s="433">
        <f t="shared" si="107"/>
        <v>37.6</v>
      </c>
      <c r="K380" s="433">
        <f t="shared" si="111"/>
        <v>307.19</v>
      </c>
      <c r="L380" s="435">
        <f t="shared" si="103"/>
        <v>1</v>
      </c>
      <c r="M380" s="420"/>
      <c r="N380" s="420"/>
      <c r="O380" s="420">
        <f t="shared" si="98"/>
        <v>307.19</v>
      </c>
      <c r="P380" s="420"/>
      <c r="R380" s="420"/>
    </row>
    <row r="381" spans="1:21" s="402" customFormat="1" ht="47.25" x14ac:dyDescent="0.2">
      <c r="A381" s="414" t="s">
        <v>893</v>
      </c>
      <c r="B381" s="432" t="s">
        <v>577</v>
      </c>
      <c r="C381" s="433" t="s">
        <v>35</v>
      </c>
      <c r="D381" s="433">
        <v>18.8</v>
      </c>
      <c r="E381" s="433">
        <v>38.369999999999997</v>
      </c>
      <c r="F381" s="490">
        <f t="shared" si="110"/>
        <v>721.36</v>
      </c>
      <c r="G381" s="483">
        <v>0</v>
      </c>
      <c r="H381" s="433">
        <v>0</v>
      </c>
      <c r="I381" s="435">
        <f t="shared" si="109"/>
        <v>0</v>
      </c>
      <c r="J381" s="433">
        <f t="shared" si="107"/>
        <v>18.8</v>
      </c>
      <c r="K381" s="433">
        <f t="shared" si="111"/>
        <v>721.36</v>
      </c>
      <c r="L381" s="435">
        <f t="shared" si="103"/>
        <v>1</v>
      </c>
      <c r="M381" s="420"/>
      <c r="N381" s="420"/>
      <c r="O381" s="420">
        <f t="shared" si="98"/>
        <v>721.36</v>
      </c>
      <c r="P381" s="420"/>
      <c r="R381" s="420"/>
    </row>
    <row r="382" spans="1:21" s="402" customFormat="1" ht="47.25" x14ac:dyDescent="0.2">
      <c r="A382" s="414" t="s">
        <v>894</v>
      </c>
      <c r="B382" s="432" t="s">
        <v>895</v>
      </c>
      <c r="C382" s="433" t="s">
        <v>35</v>
      </c>
      <c r="D382" s="433">
        <v>18.8</v>
      </c>
      <c r="E382" s="433">
        <v>26.27</v>
      </c>
      <c r="F382" s="490">
        <f t="shared" si="110"/>
        <v>493.88</v>
      </c>
      <c r="G382" s="483">
        <v>0</v>
      </c>
      <c r="H382" s="433">
        <v>0</v>
      </c>
      <c r="I382" s="435">
        <f t="shared" si="109"/>
        <v>0</v>
      </c>
      <c r="J382" s="433">
        <f t="shared" si="107"/>
        <v>18.8</v>
      </c>
      <c r="K382" s="433">
        <f t="shared" si="111"/>
        <v>493.88</v>
      </c>
      <c r="L382" s="435">
        <f t="shared" si="103"/>
        <v>1</v>
      </c>
      <c r="M382" s="420"/>
      <c r="N382" s="420"/>
      <c r="O382" s="420">
        <f t="shared" si="98"/>
        <v>493.88</v>
      </c>
      <c r="P382" s="420"/>
      <c r="R382" s="420"/>
    </row>
    <row r="383" spans="1:21" s="402" customFormat="1" ht="47.25" x14ac:dyDescent="0.2">
      <c r="A383" s="414" t="s">
        <v>896</v>
      </c>
      <c r="B383" s="432" t="s">
        <v>897</v>
      </c>
      <c r="C383" s="433" t="s">
        <v>35</v>
      </c>
      <c r="D383" s="433">
        <v>0.64</v>
      </c>
      <c r="E383" s="433">
        <v>202.71</v>
      </c>
      <c r="F383" s="490">
        <f t="shared" si="110"/>
        <v>129.72999999999999</v>
      </c>
      <c r="G383" s="483">
        <v>0</v>
      </c>
      <c r="H383" s="433">
        <v>0</v>
      </c>
      <c r="I383" s="435">
        <f t="shared" si="109"/>
        <v>0</v>
      </c>
      <c r="J383" s="433">
        <f t="shared" si="107"/>
        <v>0.64</v>
      </c>
      <c r="K383" s="433">
        <f t="shared" si="111"/>
        <v>129.72999999999999</v>
      </c>
      <c r="L383" s="435">
        <f t="shared" si="103"/>
        <v>1</v>
      </c>
      <c r="M383" s="420"/>
      <c r="N383" s="420"/>
      <c r="O383" s="420">
        <f t="shared" si="98"/>
        <v>129.72999999999999</v>
      </c>
      <c r="P383" s="420"/>
      <c r="R383" s="420"/>
    </row>
    <row r="384" spans="1:21" s="402" customFormat="1" ht="47.25" x14ac:dyDescent="0.2">
      <c r="A384" s="414" t="s">
        <v>898</v>
      </c>
      <c r="B384" s="432" t="s">
        <v>899</v>
      </c>
      <c r="C384" s="433" t="s">
        <v>35</v>
      </c>
      <c r="D384" s="433">
        <v>5.47</v>
      </c>
      <c r="E384" s="433">
        <v>65.03</v>
      </c>
      <c r="F384" s="490">
        <f t="shared" si="110"/>
        <v>355.71</v>
      </c>
      <c r="G384" s="483">
        <v>0</v>
      </c>
      <c r="H384" s="433">
        <v>0</v>
      </c>
      <c r="I384" s="435">
        <f t="shared" si="109"/>
        <v>0</v>
      </c>
      <c r="J384" s="433">
        <f t="shared" si="107"/>
        <v>5.47</v>
      </c>
      <c r="K384" s="433">
        <f t="shared" si="111"/>
        <v>355.71</v>
      </c>
      <c r="L384" s="435">
        <f t="shared" si="103"/>
        <v>1</v>
      </c>
      <c r="M384" s="420"/>
      <c r="N384" s="420"/>
      <c r="O384" s="420">
        <f t="shared" si="98"/>
        <v>355.71</v>
      </c>
      <c r="P384" s="420"/>
      <c r="R384" s="420"/>
    </row>
    <row r="385" spans="1:21" s="402" customFormat="1" ht="47.25" x14ac:dyDescent="0.2">
      <c r="A385" s="414" t="s">
        <v>900</v>
      </c>
      <c r="B385" s="432" t="s">
        <v>506</v>
      </c>
      <c r="C385" s="433" t="s">
        <v>35</v>
      </c>
      <c r="D385" s="433">
        <v>4.83</v>
      </c>
      <c r="E385" s="433">
        <v>1107.8499999999999</v>
      </c>
      <c r="F385" s="490">
        <f t="shared" si="110"/>
        <v>5350.92</v>
      </c>
      <c r="G385" s="483">
        <v>0</v>
      </c>
      <c r="H385" s="433">
        <v>0</v>
      </c>
      <c r="I385" s="435">
        <f t="shared" si="109"/>
        <v>0</v>
      </c>
      <c r="J385" s="433">
        <f t="shared" si="107"/>
        <v>4.83</v>
      </c>
      <c r="K385" s="433">
        <f t="shared" si="111"/>
        <v>5350.92</v>
      </c>
      <c r="L385" s="435">
        <f t="shared" si="103"/>
        <v>1</v>
      </c>
      <c r="M385" s="420"/>
      <c r="N385" s="420"/>
      <c r="O385" s="420">
        <f t="shared" si="98"/>
        <v>5350.92</v>
      </c>
      <c r="P385" s="420"/>
      <c r="R385" s="420"/>
    </row>
    <row r="386" spans="1:21" s="402" customFormat="1" ht="78.75" x14ac:dyDescent="0.2">
      <c r="A386" s="414" t="s">
        <v>901</v>
      </c>
      <c r="B386" s="432" t="s">
        <v>530</v>
      </c>
      <c r="C386" s="433" t="s">
        <v>35</v>
      </c>
      <c r="D386" s="433">
        <v>6.5</v>
      </c>
      <c r="E386" s="433">
        <v>126.29</v>
      </c>
      <c r="F386" s="490">
        <f t="shared" si="110"/>
        <v>820.89</v>
      </c>
      <c r="G386" s="483">
        <v>0</v>
      </c>
      <c r="H386" s="433">
        <v>0</v>
      </c>
      <c r="I386" s="435">
        <f t="shared" si="109"/>
        <v>0</v>
      </c>
      <c r="J386" s="433">
        <f t="shared" si="107"/>
        <v>6.5</v>
      </c>
      <c r="K386" s="433">
        <f t="shared" si="111"/>
        <v>820.89</v>
      </c>
      <c r="L386" s="435">
        <f t="shared" si="103"/>
        <v>1</v>
      </c>
      <c r="M386" s="420"/>
      <c r="N386" s="420"/>
      <c r="O386" s="420">
        <f t="shared" si="98"/>
        <v>820.89</v>
      </c>
      <c r="P386" s="420"/>
      <c r="R386" s="420"/>
    </row>
    <row r="387" spans="1:21" s="402" customFormat="1" ht="31.5" x14ac:dyDescent="0.2">
      <c r="A387" s="414" t="s">
        <v>902</v>
      </c>
      <c r="B387" s="432" t="s">
        <v>903</v>
      </c>
      <c r="C387" s="433" t="s">
        <v>35</v>
      </c>
      <c r="D387" s="433">
        <v>6.5</v>
      </c>
      <c r="E387" s="433">
        <v>107.01</v>
      </c>
      <c r="F387" s="490">
        <f t="shared" si="110"/>
        <v>695.57</v>
      </c>
      <c r="G387" s="483">
        <v>0</v>
      </c>
      <c r="H387" s="433">
        <v>0</v>
      </c>
      <c r="I387" s="435">
        <f t="shared" si="109"/>
        <v>0</v>
      </c>
      <c r="J387" s="433">
        <f t="shared" si="107"/>
        <v>6.5</v>
      </c>
      <c r="K387" s="433">
        <f t="shared" si="111"/>
        <v>695.57</v>
      </c>
      <c r="L387" s="435">
        <f t="shared" si="103"/>
        <v>1</v>
      </c>
      <c r="M387" s="420"/>
      <c r="N387" s="420"/>
      <c r="O387" s="420">
        <f t="shared" si="98"/>
        <v>695.57</v>
      </c>
      <c r="P387" s="420"/>
      <c r="R387" s="420"/>
    </row>
    <row r="388" spans="1:21" s="402" customFormat="1" ht="63.75" customHeight="1" x14ac:dyDescent="0.2">
      <c r="A388" s="414" t="s">
        <v>904</v>
      </c>
      <c r="B388" s="432" t="s">
        <v>905</v>
      </c>
      <c r="C388" s="433" t="s">
        <v>35</v>
      </c>
      <c r="D388" s="433">
        <v>18.8</v>
      </c>
      <c r="E388" s="433">
        <v>109.86</v>
      </c>
      <c r="F388" s="490">
        <f t="shared" si="110"/>
        <v>2065.37</v>
      </c>
      <c r="G388" s="483">
        <v>0</v>
      </c>
      <c r="H388" s="433">
        <v>0</v>
      </c>
      <c r="I388" s="435">
        <f t="shared" si="109"/>
        <v>0</v>
      </c>
      <c r="J388" s="433">
        <f t="shared" si="107"/>
        <v>18.8</v>
      </c>
      <c r="K388" s="433">
        <f t="shared" si="111"/>
        <v>2065.37</v>
      </c>
      <c r="L388" s="435">
        <f t="shared" si="103"/>
        <v>1</v>
      </c>
      <c r="M388" s="420"/>
      <c r="N388" s="420"/>
      <c r="O388" s="420">
        <f t="shared" si="98"/>
        <v>2065.37</v>
      </c>
      <c r="P388" s="420"/>
      <c r="R388" s="420"/>
    </row>
    <row r="389" spans="1:21" s="402" customFormat="1" ht="47.25" x14ac:dyDescent="0.2">
      <c r="A389" s="414" t="s">
        <v>906</v>
      </c>
      <c r="B389" s="432" t="s">
        <v>907</v>
      </c>
      <c r="C389" s="433" t="s">
        <v>35</v>
      </c>
      <c r="D389" s="433">
        <v>18.8</v>
      </c>
      <c r="E389" s="433">
        <v>29.66</v>
      </c>
      <c r="F389" s="490">
        <f t="shared" si="110"/>
        <v>557.61</v>
      </c>
      <c r="G389" s="483">
        <v>18.8</v>
      </c>
      <c r="H389" s="433">
        <v>557.60800000000006</v>
      </c>
      <c r="I389" s="435">
        <f t="shared" si="109"/>
        <v>0.99999641326375077</v>
      </c>
      <c r="J389" s="433">
        <f t="shared" si="107"/>
        <v>0</v>
      </c>
      <c r="K389" s="433">
        <f t="shared" si="111"/>
        <v>0</v>
      </c>
      <c r="L389" s="435">
        <f t="shared" si="103"/>
        <v>0</v>
      </c>
      <c r="M389" s="420"/>
      <c r="N389" s="420"/>
      <c r="O389" s="420">
        <f t="shared" si="98"/>
        <v>0</v>
      </c>
      <c r="P389" s="420"/>
      <c r="R389" s="420"/>
    </row>
    <row r="390" spans="1:21" s="402" customFormat="1" ht="47.25" x14ac:dyDescent="0.2">
      <c r="A390" s="414" t="s">
        <v>908</v>
      </c>
      <c r="B390" s="432" t="s">
        <v>799</v>
      </c>
      <c r="C390" s="433" t="s">
        <v>35</v>
      </c>
      <c r="D390" s="433">
        <v>5.0999999999999996</v>
      </c>
      <c r="E390" s="433">
        <v>155.83000000000001</v>
      </c>
      <c r="F390" s="490">
        <f t="shared" si="110"/>
        <v>794.73</v>
      </c>
      <c r="G390" s="483">
        <v>5.0999999999999996</v>
      </c>
      <c r="H390" s="433">
        <v>794.73300000000006</v>
      </c>
      <c r="I390" s="435">
        <f t="shared" si="109"/>
        <v>1.0000037748669359</v>
      </c>
      <c r="J390" s="433">
        <f t="shared" si="107"/>
        <v>0</v>
      </c>
      <c r="K390" s="433">
        <f t="shared" si="111"/>
        <v>0</v>
      </c>
      <c r="L390" s="435">
        <f t="shared" si="103"/>
        <v>0</v>
      </c>
      <c r="M390" s="420"/>
      <c r="N390" s="420"/>
      <c r="O390" s="420">
        <f t="shared" si="98"/>
        <v>0</v>
      </c>
      <c r="P390" s="420"/>
      <c r="R390" s="420"/>
    </row>
    <row r="391" spans="1:21" s="402" customFormat="1" ht="15.75" x14ac:dyDescent="0.2">
      <c r="A391" s="414" t="s">
        <v>909</v>
      </c>
      <c r="B391" s="432" t="s">
        <v>594</v>
      </c>
      <c r="C391" s="433" t="s">
        <v>26</v>
      </c>
      <c r="D391" s="433">
        <v>0.9</v>
      </c>
      <c r="E391" s="433">
        <v>59.76</v>
      </c>
      <c r="F391" s="490">
        <f t="shared" si="110"/>
        <v>53.78</v>
      </c>
      <c r="G391" s="483">
        <v>0.9</v>
      </c>
      <c r="H391" s="433">
        <v>53.783999999999999</v>
      </c>
      <c r="I391" s="435">
        <f t="shared" si="109"/>
        <v>1.0000743770918556</v>
      </c>
      <c r="J391" s="433">
        <f t="shared" si="107"/>
        <v>0</v>
      </c>
      <c r="K391" s="433">
        <f t="shared" si="111"/>
        <v>0</v>
      </c>
      <c r="L391" s="435">
        <f t="shared" si="103"/>
        <v>0</v>
      </c>
      <c r="M391" s="420"/>
      <c r="N391" s="420" t="s">
        <v>1113</v>
      </c>
      <c r="O391" s="420" t="e">
        <f t="shared" si="98"/>
        <v>#VALUE!</v>
      </c>
      <c r="P391" s="420"/>
      <c r="R391" s="420"/>
    </row>
    <row r="392" spans="1:21" s="402" customFormat="1" ht="63" x14ac:dyDescent="0.2">
      <c r="A392" s="414" t="s">
        <v>910</v>
      </c>
      <c r="B392" s="432" t="s">
        <v>911</v>
      </c>
      <c r="C392" s="433" t="s">
        <v>35</v>
      </c>
      <c r="D392" s="433">
        <v>6.5</v>
      </c>
      <c r="E392" s="433">
        <v>333.75</v>
      </c>
      <c r="F392" s="490">
        <f t="shared" si="110"/>
        <v>2169.38</v>
      </c>
      <c r="G392" s="483">
        <v>6.5</v>
      </c>
      <c r="H392" s="433">
        <v>2169.375</v>
      </c>
      <c r="I392" s="435">
        <f t="shared" si="109"/>
        <v>0.99999769519401849</v>
      </c>
      <c r="J392" s="433">
        <f t="shared" si="107"/>
        <v>0</v>
      </c>
      <c r="K392" s="433">
        <f t="shared" si="111"/>
        <v>0</v>
      </c>
      <c r="L392" s="435">
        <f t="shared" si="103"/>
        <v>0</v>
      </c>
      <c r="M392" s="420"/>
      <c r="N392" s="420"/>
      <c r="O392" s="420">
        <f t="shared" si="98"/>
        <v>0</v>
      </c>
      <c r="P392" s="420"/>
      <c r="R392" s="420"/>
    </row>
    <row r="393" spans="1:21" s="402" customFormat="1" ht="31.5" x14ac:dyDescent="0.2">
      <c r="A393" s="414" t="s">
        <v>912</v>
      </c>
      <c r="B393" s="432" t="s">
        <v>797</v>
      </c>
      <c r="C393" s="433" t="s">
        <v>35</v>
      </c>
      <c r="D393" s="433">
        <v>5.0999999999999996</v>
      </c>
      <c r="E393" s="433">
        <v>17.010000000000002</v>
      </c>
      <c r="F393" s="490">
        <f t="shared" si="110"/>
        <v>86.75</v>
      </c>
      <c r="G393" s="483">
        <v>5.0999999999999996</v>
      </c>
      <c r="H393" s="433">
        <v>86.751000000000005</v>
      </c>
      <c r="I393" s="435">
        <f t="shared" si="109"/>
        <v>1.0000115273775216</v>
      </c>
      <c r="J393" s="433">
        <f t="shared" si="107"/>
        <v>0</v>
      </c>
      <c r="K393" s="433">
        <f t="shared" si="111"/>
        <v>0</v>
      </c>
      <c r="L393" s="435">
        <f t="shared" si="103"/>
        <v>0</v>
      </c>
      <c r="M393" s="420"/>
      <c r="N393" s="420"/>
      <c r="O393" s="420">
        <f t="shared" si="98"/>
        <v>0</v>
      </c>
      <c r="P393" s="420"/>
      <c r="R393" s="420"/>
    </row>
    <row r="394" spans="1:21" s="402" customFormat="1" ht="47.25" x14ac:dyDescent="0.2">
      <c r="A394" s="414" t="s">
        <v>913</v>
      </c>
      <c r="B394" s="432" t="s">
        <v>784</v>
      </c>
      <c r="C394" s="433" t="s">
        <v>35</v>
      </c>
      <c r="D394" s="433">
        <v>18.8</v>
      </c>
      <c r="E394" s="433">
        <v>15.27</v>
      </c>
      <c r="F394" s="490">
        <f t="shared" si="110"/>
        <v>287.08</v>
      </c>
      <c r="G394" s="483">
        <v>18.8</v>
      </c>
      <c r="H394" s="433">
        <v>287.07600000000002</v>
      </c>
      <c r="I394" s="435">
        <f t="shared" si="109"/>
        <v>0.99998606660164424</v>
      </c>
      <c r="J394" s="433">
        <f t="shared" si="107"/>
        <v>0</v>
      </c>
      <c r="K394" s="433">
        <f t="shared" si="111"/>
        <v>0</v>
      </c>
      <c r="L394" s="435">
        <f t="shared" si="103"/>
        <v>0</v>
      </c>
      <c r="M394" s="420"/>
      <c r="N394" s="420"/>
      <c r="O394" s="420">
        <f t="shared" si="98"/>
        <v>0</v>
      </c>
      <c r="P394" s="420"/>
      <c r="R394" s="420"/>
    </row>
    <row r="395" spans="1:21" s="402" customFormat="1" ht="75" customHeight="1" x14ac:dyDescent="0.2">
      <c r="A395" s="414" t="s">
        <v>914</v>
      </c>
      <c r="B395" s="432" t="s">
        <v>822</v>
      </c>
      <c r="C395" s="433" t="s">
        <v>35</v>
      </c>
      <c r="D395" s="433">
        <v>5</v>
      </c>
      <c r="E395" s="433">
        <v>225.53</v>
      </c>
      <c r="F395" s="490">
        <f t="shared" si="110"/>
        <v>1127.6500000000001</v>
      </c>
      <c r="G395" s="483">
        <v>5</v>
      </c>
      <c r="H395" s="433">
        <v>1127.6500000000001</v>
      </c>
      <c r="I395" s="435">
        <f t="shared" si="109"/>
        <v>1</v>
      </c>
      <c r="J395" s="433">
        <f t="shared" si="107"/>
        <v>0</v>
      </c>
      <c r="K395" s="433">
        <f t="shared" si="111"/>
        <v>0</v>
      </c>
      <c r="L395" s="435">
        <f t="shared" ref="L395:L426" si="112">IF(F395=0,0,K395/F395)</f>
        <v>0</v>
      </c>
      <c r="M395" s="420"/>
      <c r="N395" s="420"/>
      <c r="O395" s="420">
        <f t="shared" ref="O395:O458" si="113">K395-N395</f>
        <v>0</v>
      </c>
      <c r="P395" s="420"/>
      <c r="R395" s="420"/>
    </row>
    <row r="396" spans="1:21" ht="15.75" x14ac:dyDescent="0.2">
      <c r="A396" s="436"/>
      <c r="B396" s="422" t="s">
        <v>307</v>
      </c>
      <c r="C396" s="424"/>
      <c r="D396" s="424"/>
      <c r="E396" s="424"/>
      <c r="F396" s="427">
        <f>SUM(F379:F395)</f>
        <v>17806.04</v>
      </c>
      <c r="G396" s="440">
        <v>0</v>
      </c>
      <c r="H396" s="425">
        <v>5076.9770000000008</v>
      </c>
      <c r="I396" s="429">
        <f t="shared" si="109"/>
        <v>0.28512667611664361</v>
      </c>
      <c r="J396" s="430">
        <f t="shared" si="107"/>
        <v>0</v>
      </c>
      <c r="K396" s="425">
        <f>SUM(K379:K395)</f>
        <v>12729.059999999998</v>
      </c>
      <c r="L396" s="429">
        <f t="shared" si="112"/>
        <v>0.71487315540120078</v>
      </c>
      <c r="M396" s="420"/>
      <c r="N396" s="420"/>
      <c r="O396" s="420">
        <f t="shared" si="113"/>
        <v>12729.059999999998</v>
      </c>
      <c r="P396" s="420"/>
      <c r="R396" s="420"/>
      <c r="U396" s="386">
        <v>0</v>
      </c>
    </row>
    <row r="397" spans="1:21" ht="15.75" x14ac:dyDescent="0.2">
      <c r="A397" s="436"/>
      <c r="B397" s="422"/>
      <c r="C397" s="424"/>
      <c r="D397" s="424"/>
      <c r="E397" s="424"/>
      <c r="F397" s="427"/>
      <c r="G397" s="440"/>
      <c r="H397" s="425"/>
      <c r="I397" s="429"/>
      <c r="J397" s="430"/>
      <c r="K397" s="425"/>
      <c r="L397" s="429"/>
      <c r="M397" s="420"/>
      <c r="N397" s="420"/>
      <c r="O397" s="420">
        <f t="shared" si="113"/>
        <v>0</v>
      </c>
      <c r="P397" s="420"/>
      <c r="R397" s="420"/>
    </row>
    <row r="398" spans="1:21" ht="15.75" x14ac:dyDescent="0.2">
      <c r="A398" s="421">
        <v>23</v>
      </c>
      <c r="B398" s="422" t="s">
        <v>939</v>
      </c>
      <c r="C398" s="424"/>
      <c r="D398" s="424"/>
      <c r="E398" s="424"/>
      <c r="F398" s="427"/>
      <c r="G398" s="440"/>
      <c r="H398" s="425"/>
      <c r="I398" s="429"/>
      <c r="J398" s="430"/>
      <c r="K398" s="425"/>
      <c r="L398" s="429"/>
      <c r="M398" s="420"/>
      <c r="N398" s="420"/>
      <c r="O398" s="420">
        <f t="shared" si="113"/>
        <v>0</v>
      </c>
      <c r="P398" s="420"/>
      <c r="R398" s="420"/>
    </row>
    <row r="399" spans="1:21" s="402" customFormat="1" ht="15.75" x14ac:dyDescent="0.2">
      <c r="A399" s="414">
        <v>230101</v>
      </c>
      <c r="B399" s="432" t="s">
        <v>940</v>
      </c>
      <c r="C399" s="433" t="s">
        <v>16</v>
      </c>
      <c r="D399" s="433">
        <v>196.02</v>
      </c>
      <c r="E399" s="433">
        <v>95.55</v>
      </c>
      <c r="F399" s="490">
        <f t="shared" ref="F399:F403" si="114">ROUND((E399*D399),2)</f>
        <v>18729.71</v>
      </c>
      <c r="G399" s="483">
        <v>196.02</v>
      </c>
      <c r="H399" s="433">
        <v>18729.710999999999</v>
      </c>
      <c r="I399" s="435">
        <f>IF(F399=0,0,H399/F399)</f>
        <v>1.0000000533911095</v>
      </c>
      <c r="J399" s="433">
        <f>D399-G399</f>
        <v>0</v>
      </c>
      <c r="K399" s="433">
        <f>ROUND((J399*E399),2)</f>
        <v>0</v>
      </c>
      <c r="L399" s="435">
        <f t="shared" ref="L399:L404" si="115">IF(F399=0,0,K399/F399)</f>
        <v>0</v>
      </c>
      <c r="M399" s="454"/>
      <c r="N399" s="420"/>
      <c r="O399" s="420">
        <f t="shared" si="113"/>
        <v>0</v>
      </c>
      <c r="P399" s="454"/>
      <c r="R399" s="454"/>
    </row>
    <row r="400" spans="1:21" s="402" customFormat="1" ht="63" x14ac:dyDescent="0.2">
      <c r="A400" s="414">
        <v>230102</v>
      </c>
      <c r="B400" s="432" t="s">
        <v>941</v>
      </c>
      <c r="C400" s="433" t="s">
        <v>942</v>
      </c>
      <c r="D400" s="433">
        <v>7732.4859999999999</v>
      </c>
      <c r="E400" s="433">
        <v>43.61</v>
      </c>
      <c r="F400" s="490">
        <f t="shared" si="114"/>
        <v>337213.71</v>
      </c>
      <c r="G400" s="483">
        <v>7732.4859999999999</v>
      </c>
      <c r="H400" s="433">
        <v>337213.71445999999</v>
      </c>
      <c r="I400" s="435">
        <f>IF(F400=0,0,H400/F400)</f>
        <v>1.0000000132260338</v>
      </c>
      <c r="J400" s="433">
        <f>D400-G400</f>
        <v>0</v>
      </c>
      <c r="K400" s="433">
        <f>ROUND((J400*E400),2)</f>
        <v>0</v>
      </c>
      <c r="L400" s="435">
        <f t="shared" si="115"/>
        <v>0</v>
      </c>
      <c r="M400" s="454"/>
      <c r="N400" s="420"/>
      <c r="O400" s="420">
        <f t="shared" si="113"/>
        <v>0</v>
      </c>
      <c r="P400" s="454"/>
      <c r="R400" s="454"/>
      <c r="U400" s="402">
        <v>262902.44889999996</v>
      </c>
    </row>
    <row r="401" spans="1:21" s="402" customFormat="1" ht="75.75" customHeight="1" x14ac:dyDescent="0.2">
      <c r="A401" s="414">
        <v>230103</v>
      </c>
      <c r="B401" s="432" t="s">
        <v>943</v>
      </c>
      <c r="C401" s="433" t="s">
        <v>944</v>
      </c>
      <c r="D401" s="433">
        <v>3</v>
      </c>
      <c r="E401" s="433">
        <v>818</v>
      </c>
      <c r="F401" s="490">
        <f t="shared" si="114"/>
        <v>2454</v>
      </c>
      <c r="G401" s="483">
        <v>3</v>
      </c>
      <c r="H401" s="433">
        <v>2454</v>
      </c>
      <c r="I401" s="435">
        <f>IF(F401=0,0,H401/F401)</f>
        <v>1</v>
      </c>
      <c r="J401" s="433">
        <f>D401-G401</f>
        <v>0</v>
      </c>
      <c r="K401" s="433">
        <f>ROUND((J401*E401),2)</f>
        <v>0</v>
      </c>
      <c r="L401" s="435">
        <f t="shared" si="115"/>
        <v>0</v>
      </c>
      <c r="M401" s="454"/>
      <c r="N401" s="420"/>
      <c r="O401" s="420">
        <f t="shared" si="113"/>
        <v>0</v>
      </c>
      <c r="P401" s="454"/>
      <c r="R401" s="454"/>
    </row>
    <row r="402" spans="1:21" s="402" customFormat="1" ht="78.75" x14ac:dyDescent="0.2">
      <c r="A402" s="414">
        <v>230104</v>
      </c>
      <c r="B402" s="432" t="s">
        <v>945</v>
      </c>
      <c r="C402" s="433" t="s">
        <v>944</v>
      </c>
      <c r="D402" s="433">
        <v>5</v>
      </c>
      <c r="E402" s="433">
        <v>912.86</v>
      </c>
      <c r="F402" s="490">
        <f t="shared" si="114"/>
        <v>4564.3</v>
      </c>
      <c r="G402" s="483">
        <v>5</v>
      </c>
      <c r="H402" s="433">
        <v>4564.3</v>
      </c>
      <c r="I402" s="435">
        <f>IF(F402=0,0,H402/F402)</f>
        <v>1</v>
      </c>
      <c r="J402" s="433">
        <f>D402-G402</f>
        <v>0</v>
      </c>
      <c r="K402" s="433">
        <f>ROUND((J402*E402),2)</f>
        <v>0</v>
      </c>
      <c r="L402" s="435">
        <f t="shared" si="115"/>
        <v>0</v>
      </c>
      <c r="M402" s="454"/>
      <c r="N402" s="420"/>
      <c r="O402" s="420">
        <f t="shared" si="113"/>
        <v>0</v>
      </c>
      <c r="P402" s="454"/>
      <c r="R402" s="454"/>
    </row>
    <row r="403" spans="1:21" s="402" customFormat="1" ht="63" x14ac:dyDescent="0.2">
      <c r="A403" s="414">
        <v>230105</v>
      </c>
      <c r="B403" s="432" t="s">
        <v>946</v>
      </c>
      <c r="C403" s="433" t="s">
        <v>16</v>
      </c>
      <c r="D403" s="433">
        <v>61.04</v>
      </c>
      <c r="E403" s="433">
        <v>76.900000000000006</v>
      </c>
      <c r="F403" s="490">
        <f t="shared" si="114"/>
        <v>4693.9799999999996</v>
      </c>
      <c r="G403" s="483">
        <v>61.04</v>
      </c>
      <c r="H403" s="433">
        <v>4693.9760000000006</v>
      </c>
      <c r="I403" s="435">
        <f>IF(F403=0,0,H403/F403)</f>
        <v>0.99999914784468635</v>
      </c>
      <c r="J403" s="433">
        <f>D403-G403</f>
        <v>0</v>
      </c>
      <c r="K403" s="433">
        <f>ROUND((J403*E403),2)</f>
        <v>0</v>
      </c>
      <c r="L403" s="435">
        <f t="shared" si="115"/>
        <v>0</v>
      </c>
      <c r="M403" s="454"/>
      <c r="N403" s="420"/>
      <c r="O403" s="420">
        <f t="shared" si="113"/>
        <v>0</v>
      </c>
      <c r="P403" s="454"/>
      <c r="R403" s="454"/>
    </row>
    <row r="404" spans="1:21" ht="15.75" x14ac:dyDescent="0.2">
      <c r="A404" s="436"/>
      <c r="B404" s="422" t="s">
        <v>950</v>
      </c>
      <c r="C404" s="424"/>
      <c r="D404" s="424"/>
      <c r="E404" s="424"/>
      <c r="F404" s="427">
        <f>SUM(F399:F403)</f>
        <v>367655.7</v>
      </c>
      <c r="G404" s="440"/>
      <c r="H404" s="437">
        <v>367655.70146000001</v>
      </c>
      <c r="I404" s="431">
        <f>H404/$F$404</f>
        <v>1.0000000039711066</v>
      </c>
      <c r="J404" s="430"/>
      <c r="K404" s="425">
        <f>SUM(K399:K403)</f>
        <v>0</v>
      </c>
      <c r="L404" s="429">
        <f t="shared" si="115"/>
        <v>0</v>
      </c>
      <c r="M404" s="420"/>
      <c r="N404" s="420"/>
      <c r="O404" s="420">
        <f t="shared" si="113"/>
        <v>0</v>
      </c>
      <c r="P404" s="420"/>
      <c r="R404" s="420"/>
      <c r="U404" s="386">
        <v>262902.44889999996</v>
      </c>
    </row>
    <row r="405" spans="1:21" ht="15.75" x14ac:dyDescent="0.2">
      <c r="A405" s="436"/>
      <c r="B405" s="422"/>
      <c r="C405" s="424"/>
      <c r="D405" s="424"/>
      <c r="E405" s="424"/>
      <c r="F405" s="427"/>
      <c r="G405" s="440"/>
      <c r="H405" s="437"/>
      <c r="I405" s="431"/>
      <c r="J405" s="430"/>
      <c r="K405" s="425"/>
      <c r="L405" s="429"/>
      <c r="M405" s="420"/>
      <c r="N405" s="420"/>
      <c r="O405" s="420">
        <f t="shared" si="113"/>
        <v>0</v>
      </c>
      <c r="P405" s="420"/>
      <c r="R405" s="420"/>
    </row>
    <row r="406" spans="1:21" ht="15.75" x14ac:dyDescent="0.25">
      <c r="A406" s="455">
        <v>24</v>
      </c>
      <c r="B406" s="456" t="s">
        <v>951</v>
      </c>
      <c r="C406" s="464"/>
      <c r="D406" s="464"/>
      <c r="E406" s="465"/>
      <c r="F406" s="494"/>
      <c r="G406" s="440"/>
      <c r="H406" s="437"/>
      <c r="I406" s="431"/>
      <c r="J406" s="430"/>
      <c r="K406" s="425"/>
      <c r="L406" s="429"/>
      <c r="M406" s="420"/>
      <c r="N406" s="420"/>
      <c r="O406" s="420">
        <f t="shared" si="113"/>
        <v>0</v>
      </c>
      <c r="P406" s="420"/>
      <c r="R406" s="420"/>
    </row>
    <row r="407" spans="1:21" s="402" customFormat="1" ht="15.75" x14ac:dyDescent="0.2">
      <c r="A407" s="414">
        <v>240101</v>
      </c>
      <c r="B407" s="432" t="s">
        <v>953</v>
      </c>
      <c r="C407" s="433" t="s">
        <v>16</v>
      </c>
      <c r="D407" s="433">
        <v>114.768</v>
      </c>
      <c r="E407" s="433">
        <v>928.9</v>
      </c>
      <c r="F407" s="490">
        <f t="shared" ref="F407:F440" si="116">ROUND((E407*D407),2)</f>
        <v>106608</v>
      </c>
      <c r="G407" s="483">
        <v>114.768</v>
      </c>
      <c r="H407" s="433">
        <v>106607.9952</v>
      </c>
      <c r="I407" s="435">
        <f t="shared" ref="I407:I429" si="117">IF(F407=0,0,H407/F407)</f>
        <v>0.99999995497523642</v>
      </c>
      <c r="J407" s="433">
        <f t="shared" ref="J407:J440" si="118">D407-G407</f>
        <v>0</v>
      </c>
      <c r="K407" s="433">
        <f t="shared" ref="K407:K440" si="119">ROUND((J407*E407),2)</f>
        <v>0</v>
      </c>
      <c r="L407" s="435">
        <f t="shared" ref="L407:L441" si="120">IF(F407=0,0,K407/F407)</f>
        <v>0</v>
      </c>
      <c r="M407" s="454">
        <f t="shared" ref="M407:M470" si="121">F407-K407</f>
        <v>106608</v>
      </c>
      <c r="N407" s="420"/>
      <c r="O407" s="420">
        <f t="shared" si="113"/>
        <v>0</v>
      </c>
      <c r="P407" s="454"/>
      <c r="R407" s="454"/>
    </row>
    <row r="408" spans="1:21" s="402" customFormat="1" ht="63" x14ac:dyDescent="0.2">
      <c r="A408" s="414">
        <v>240102</v>
      </c>
      <c r="B408" s="432" t="s">
        <v>954</v>
      </c>
      <c r="C408" s="433" t="s">
        <v>35</v>
      </c>
      <c r="D408" s="433">
        <v>31.679999999999996</v>
      </c>
      <c r="E408" s="433">
        <v>1741.04</v>
      </c>
      <c r="F408" s="490">
        <f t="shared" si="116"/>
        <v>55156.15</v>
      </c>
      <c r="G408" s="483">
        <v>31.68</v>
      </c>
      <c r="H408" s="433">
        <v>55156.147199999999</v>
      </c>
      <c r="I408" s="435">
        <f t="shared" si="117"/>
        <v>0.99999994923503543</v>
      </c>
      <c r="J408" s="433">
        <f t="shared" si="118"/>
        <v>0</v>
      </c>
      <c r="K408" s="433">
        <f t="shared" si="119"/>
        <v>0</v>
      </c>
      <c r="L408" s="435">
        <f t="shared" si="120"/>
        <v>0</v>
      </c>
      <c r="M408" s="454">
        <f t="shared" si="121"/>
        <v>55156.15</v>
      </c>
      <c r="N408" s="420"/>
      <c r="O408" s="420">
        <f t="shared" si="113"/>
        <v>0</v>
      </c>
      <c r="P408" s="454"/>
      <c r="R408" s="454"/>
    </row>
    <row r="409" spans="1:21" s="402" customFormat="1" ht="31.5" x14ac:dyDescent="0.2">
      <c r="A409" s="414">
        <v>240103</v>
      </c>
      <c r="B409" s="432" t="s">
        <v>955</v>
      </c>
      <c r="C409" s="433" t="s">
        <v>16</v>
      </c>
      <c r="D409" s="433">
        <v>127.42399999999999</v>
      </c>
      <c r="E409" s="433">
        <v>296.83</v>
      </c>
      <c r="F409" s="490">
        <f t="shared" si="116"/>
        <v>37823.269999999997</v>
      </c>
      <c r="G409" s="483">
        <v>127.42399999999999</v>
      </c>
      <c r="H409" s="433">
        <v>37823.265919999998</v>
      </c>
      <c r="I409" s="435">
        <f t="shared" si="117"/>
        <v>0.99999989212989782</v>
      </c>
      <c r="J409" s="433">
        <f t="shared" si="118"/>
        <v>0</v>
      </c>
      <c r="K409" s="433">
        <f t="shared" si="119"/>
        <v>0</v>
      </c>
      <c r="L409" s="435">
        <f t="shared" si="120"/>
        <v>0</v>
      </c>
      <c r="M409" s="454">
        <f t="shared" si="121"/>
        <v>37823.269999999997</v>
      </c>
      <c r="N409" s="420"/>
      <c r="O409" s="420">
        <f t="shared" si="113"/>
        <v>0</v>
      </c>
      <c r="P409" s="454"/>
      <c r="R409" s="454"/>
    </row>
    <row r="410" spans="1:21" s="402" customFormat="1" ht="15.75" x14ac:dyDescent="0.2">
      <c r="A410" s="414">
        <v>240104</v>
      </c>
      <c r="B410" s="432" t="s">
        <v>956</v>
      </c>
      <c r="C410" s="433" t="s">
        <v>16</v>
      </c>
      <c r="D410" s="433">
        <v>2.3475999999999999</v>
      </c>
      <c r="E410" s="433">
        <v>506.97</v>
      </c>
      <c r="F410" s="490">
        <f t="shared" si="116"/>
        <v>1190.1600000000001</v>
      </c>
      <c r="G410" s="483">
        <v>2.3475999999999999</v>
      </c>
      <c r="H410" s="433">
        <v>1190.1627719999999</v>
      </c>
      <c r="I410" s="435">
        <f t="shared" si="117"/>
        <v>1.0000023290986084</v>
      </c>
      <c r="J410" s="433">
        <f t="shared" si="118"/>
        <v>0</v>
      </c>
      <c r="K410" s="433">
        <f t="shared" si="119"/>
        <v>0</v>
      </c>
      <c r="L410" s="435">
        <f t="shared" si="120"/>
        <v>0</v>
      </c>
      <c r="M410" s="454">
        <f t="shared" si="121"/>
        <v>1190.1600000000001</v>
      </c>
      <c r="N410" s="420"/>
      <c r="O410" s="420">
        <f t="shared" si="113"/>
        <v>0</v>
      </c>
      <c r="P410" s="454"/>
      <c r="R410" s="454"/>
    </row>
    <row r="411" spans="1:21" s="402" customFormat="1" ht="31.5" x14ac:dyDescent="0.2">
      <c r="A411" s="414">
        <v>240105</v>
      </c>
      <c r="B411" s="432" t="s">
        <v>957</v>
      </c>
      <c r="C411" s="433" t="s">
        <v>23</v>
      </c>
      <c r="D411" s="433">
        <v>1</v>
      </c>
      <c r="E411" s="433">
        <v>365.1</v>
      </c>
      <c r="F411" s="490">
        <f t="shared" si="116"/>
        <v>365.1</v>
      </c>
      <c r="G411" s="483">
        <v>1</v>
      </c>
      <c r="H411" s="433">
        <v>365.1</v>
      </c>
      <c r="I411" s="435">
        <f t="shared" si="117"/>
        <v>1</v>
      </c>
      <c r="J411" s="433">
        <f t="shared" si="118"/>
        <v>0</v>
      </c>
      <c r="K411" s="433">
        <f t="shared" si="119"/>
        <v>0</v>
      </c>
      <c r="L411" s="435">
        <f t="shared" si="120"/>
        <v>0</v>
      </c>
      <c r="M411" s="454">
        <f t="shared" si="121"/>
        <v>365.1</v>
      </c>
      <c r="N411" s="420"/>
      <c r="O411" s="420">
        <f t="shared" si="113"/>
        <v>0</v>
      </c>
      <c r="P411" s="454"/>
      <c r="R411" s="454"/>
    </row>
    <row r="412" spans="1:21" s="402" customFormat="1" ht="31.5" x14ac:dyDescent="0.2">
      <c r="A412" s="414">
        <v>240106</v>
      </c>
      <c r="B412" s="432" t="s">
        <v>958</v>
      </c>
      <c r="C412" s="433" t="s">
        <v>16</v>
      </c>
      <c r="D412" s="433">
        <v>21.143999999999998</v>
      </c>
      <c r="E412" s="433">
        <v>30.88</v>
      </c>
      <c r="F412" s="490">
        <f t="shared" si="116"/>
        <v>652.92999999999995</v>
      </c>
      <c r="G412" s="483">
        <v>21.143999999999998</v>
      </c>
      <c r="H412" s="433">
        <v>652.92671999999993</v>
      </c>
      <c r="I412" s="435">
        <f t="shared" si="117"/>
        <v>0.99999497649058855</v>
      </c>
      <c r="J412" s="433">
        <f t="shared" si="118"/>
        <v>0</v>
      </c>
      <c r="K412" s="433">
        <f t="shared" si="119"/>
        <v>0</v>
      </c>
      <c r="L412" s="435">
        <f t="shared" si="120"/>
        <v>0</v>
      </c>
      <c r="M412" s="454">
        <f t="shared" si="121"/>
        <v>652.92999999999995</v>
      </c>
      <c r="N412" s="420"/>
      <c r="O412" s="420">
        <f t="shared" si="113"/>
        <v>0</v>
      </c>
      <c r="P412" s="454"/>
      <c r="R412" s="454"/>
    </row>
    <row r="413" spans="1:21" s="402" customFormat="1" ht="15.75" x14ac:dyDescent="0.2">
      <c r="A413" s="414">
        <v>240107</v>
      </c>
      <c r="B413" s="432" t="s">
        <v>959</v>
      </c>
      <c r="C413" s="433" t="s">
        <v>26</v>
      </c>
      <c r="D413" s="433">
        <v>88.4</v>
      </c>
      <c r="E413" s="433">
        <v>50.37</v>
      </c>
      <c r="F413" s="490">
        <f t="shared" si="116"/>
        <v>4452.71</v>
      </c>
      <c r="G413" s="483">
        <v>88.4</v>
      </c>
      <c r="H413" s="433">
        <v>4452.7079999999996</v>
      </c>
      <c r="I413" s="435">
        <f t="shared" si="117"/>
        <v>0.99999955083533387</v>
      </c>
      <c r="J413" s="433">
        <f t="shared" si="118"/>
        <v>0</v>
      </c>
      <c r="K413" s="433">
        <f t="shared" si="119"/>
        <v>0</v>
      </c>
      <c r="L413" s="435">
        <f t="shared" si="120"/>
        <v>0</v>
      </c>
      <c r="M413" s="454">
        <f t="shared" si="121"/>
        <v>4452.71</v>
      </c>
      <c r="N413" s="420"/>
      <c r="O413" s="420">
        <f t="shared" si="113"/>
        <v>0</v>
      </c>
      <c r="P413" s="454"/>
      <c r="R413" s="454"/>
    </row>
    <row r="414" spans="1:21" s="402" customFormat="1" ht="15.75" x14ac:dyDescent="0.2">
      <c r="A414" s="414">
        <v>240108</v>
      </c>
      <c r="B414" s="432" t="s">
        <v>960</v>
      </c>
      <c r="C414" s="433" t="s">
        <v>35</v>
      </c>
      <c r="D414" s="433">
        <v>30.6</v>
      </c>
      <c r="E414" s="433">
        <v>149.86000000000001</v>
      </c>
      <c r="F414" s="490">
        <f t="shared" si="116"/>
        <v>4585.72</v>
      </c>
      <c r="G414" s="483">
        <v>30.6</v>
      </c>
      <c r="H414" s="433">
        <v>4585.7160000000003</v>
      </c>
      <c r="I414" s="435">
        <f t="shared" si="117"/>
        <v>0.99999912772694366</v>
      </c>
      <c r="J414" s="433">
        <f t="shared" si="118"/>
        <v>0</v>
      </c>
      <c r="K414" s="433">
        <f t="shared" si="119"/>
        <v>0</v>
      </c>
      <c r="L414" s="435">
        <f t="shared" si="120"/>
        <v>0</v>
      </c>
      <c r="M414" s="454">
        <f t="shared" si="121"/>
        <v>4585.72</v>
      </c>
      <c r="N414" s="420"/>
      <c r="O414" s="420">
        <f t="shared" si="113"/>
        <v>0</v>
      </c>
      <c r="P414" s="454"/>
      <c r="R414" s="454"/>
    </row>
    <row r="415" spans="1:21" s="402" customFormat="1" ht="47.25" x14ac:dyDescent="0.2">
      <c r="A415" s="414">
        <v>240109</v>
      </c>
      <c r="B415" s="432" t="s">
        <v>961</v>
      </c>
      <c r="C415" s="433" t="s">
        <v>16</v>
      </c>
      <c r="D415" s="433">
        <v>185.69</v>
      </c>
      <c r="E415" s="433">
        <v>245.53</v>
      </c>
      <c r="F415" s="490">
        <f t="shared" si="116"/>
        <v>45592.47</v>
      </c>
      <c r="G415" s="483">
        <v>185.69</v>
      </c>
      <c r="H415" s="433">
        <v>45592.465700000001</v>
      </c>
      <c r="I415" s="435">
        <f t="shared" si="117"/>
        <v>0.99999990568618013</v>
      </c>
      <c r="J415" s="433">
        <f t="shared" si="118"/>
        <v>0</v>
      </c>
      <c r="K415" s="433">
        <f t="shared" si="119"/>
        <v>0</v>
      </c>
      <c r="L415" s="435">
        <f t="shared" si="120"/>
        <v>0</v>
      </c>
      <c r="M415" s="454">
        <f t="shared" si="121"/>
        <v>45592.47</v>
      </c>
      <c r="N415" s="420"/>
      <c r="O415" s="420">
        <f t="shared" si="113"/>
        <v>0</v>
      </c>
      <c r="P415" s="454"/>
      <c r="R415" s="454"/>
    </row>
    <row r="416" spans="1:21" s="402" customFormat="1" ht="15.75" x14ac:dyDescent="0.2">
      <c r="A416" s="414">
        <v>240110</v>
      </c>
      <c r="B416" s="432" t="s">
        <v>962</v>
      </c>
      <c r="C416" s="433" t="s">
        <v>944</v>
      </c>
      <c r="D416" s="433">
        <v>1</v>
      </c>
      <c r="E416" s="433">
        <v>7187.7795719999995</v>
      </c>
      <c r="F416" s="490">
        <f t="shared" si="116"/>
        <v>7187.78</v>
      </c>
      <c r="G416" s="483">
        <v>1</v>
      </c>
      <c r="H416" s="433">
        <v>7187.7795719999995</v>
      </c>
      <c r="I416" s="435">
        <f t="shared" si="117"/>
        <v>0.99999994045449359</v>
      </c>
      <c r="J416" s="433">
        <f t="shared" si="118"/>
        <v>0</v>
      </c>
      <c r="K416" s="433">
        <f t="shared" si="119"/>
        <v>0</v>
      </c>
      <c r="L416" s="435">
        <f t="shared" si="120"/>
        <v>0</v>
      </c>
      <c r="M416" s="454">
        <f t="shared" si="121"/>
        <v>7187.78</v>
      </c>
      <c r="N416" s="420"/>
      <c r="O416" s="420">
        <f t="shared" si="113"/>
        <v>0</v>
      </c>
      <c r="P416" s="454"/>
      <c r="R416" s="454"/>
    </row>
    <row r="417" spans="1:18" s="402" customFormat="1" ht="31.5" x14ac:dyDescent="0.2">
      <c r="A417" s="414">
        <v>240111</v>
      </c>
      <c r="B417" s="432" t="s">
        <v>963</v>
      </c>
      <c r="C417" s="433" t="s">
        <v>16</v>
      </c>
      <c r="D417" s="433">
        <v>1.9603999999999999</v>
      </c>
      <c r="E417" s="433">
        <v>1588.62</v>
      </c>
      <c r="F417" s="490">
        <f t="shared" si="116"/>
        <v>3114.33</v>
      </c>
      <c r="G417" s="483">
        <v>1.9603999999999999</v>
      </c>
      <c r="H417" s="433">
        <v>3114.3306479999997</v>
      </c>
      <c r="I417" s="435">
        <f t="shared" si="117"/>
        <v>1.0000002080704355</v>
      </c>
      <c r="J417" s="433">
        <f t="shared" si="118"/>
        <v>0</v>
      </c>
      <c r="K417" s="433">
        <f t="shared" si="119"/>
        <v>0</v>
      </c>
      <c r="L417" s="435">
        <f t="shared" si="120"/>
        <v>0</v>
      </c>
      <c r="M417" s="454">
        <f t="shared" si="121"/>
        <v>3114.33</v>
      </c>
      <c r="N417" s="420"/>
      <c r="O417" s="420">
        <f t="shared" si="113"/>
        <v>0</v>
      </c>
      <c r="P417" s="454"/>
      <c r="R417" s="454"/>
    </row>
    <row r="418" spans="1:18" s="402" customFormat="1" ht="31.5" x14ac:dyDescent="0.2">
      <c r="A418" s="414">
        <v>240112</v>
      </c>
      <c r="B418" s="432" t="s">
        <v>964</v>
      </c>
      <c r="C418" s="433" t="s">
        <v>23</v>
      </c>
      <c r="D418" s="433">
        <v>1</v>
      </c>
      <c r="E418" s="433">
        <v>1287.4100000000001</v>
      </c>
      <c r="F418" s="490">
        <f t="shared" si="116"/>
        <v>1287.4100000000001</v>
      </c>
      <c r="G418" s="483">
        <v>0</v>
      </c>
      <c r="H418" s="433">
        <v>0</v>
      </c>
      <c r="I418" s="435">
        <f t="shared" si="117"/>
        <v>0</v>
      </c>
      <c r="J418" s="433">
        <f t="shared" si="118"/>
        <v>1</v>
      </c>
      <c r="K418" s="433">
        <f t="shared" si="119"/>
        <v>1287.4100000000001</v>
      </c>
      <c r="L418" s="435">
        <f t="shared" si="120"/>
        <v>1</v>
      </c>
      <c r="M418" s="454">
        <f t="shared" si="121"/>
        <v>0</v>
      </c>
      <c r="N418" s="420"/>
      <c r="O418" s="420">
        <f t="shared" si="113"/>
        <v>1287.4100000000001</v>
      </c>
      <c r="P418" s="454"/>
      <c r="R418" s="454"/>
    </row>
    <row r="419" spans="1:18" s="402" customFormat="1" ht="47.25" x14ac:dyDescent="0.2">
      <c r="A419" s="414">
        <v>240113</v>
      </c>
      <c r="B419" s="432" t="s">
        <v>965</v>
      </c>
      <c r="C419" s="433" t="s">
        <v>23</v>
      </c>
      <c r="D419" s="433">
        <v>8</v>
      </c>
      <c r="E419" s="433">
        <v>166.83</v>
      </c>
      <c r="F419" s="490">
        <f t="shared" si="116"/>
        <v>1334.64</v>
      </c>
      <c r="G419" s="483">
        <v>8</v>
      </c>
      <c r="H419" s="433">
        <v>1334.64</v>
      </c>
      <c r="I419" s="435">
        <f t="shared" si="117"/>
        <v>1</v>
      </c>
      <c r="J419" s="433">
        <f t="shared" si="118"/>
        <v>0</v>
      </c>
      <c r="K419" s="433">
        <f t="shared" si="119"/>
        <v>0</v>
      </c>
      <c r="L419" s="435">
        <f t="shared" si="120"/>
        <v>0</v>
      </c>
      <c r="M419" s="454">
        <f t="shared" si="121"/>
        <v>1334.64</v>
      </c>
      <c r="N419" s="420"/>
      <c r="O419" s="420">
        <f t="shared" si="113"/>
        <v>0</v>
      </c>
      <c r="P419" s="454"/>
      <c r="R419" s="454"/>
    </row>
    <row r="420" spans="1:18" s="402" customFormat="1" ht="63" x14ac:dyDescent="0.2">
      <c r="A420" s="414">
        <v>240114</v>
      </c>
      <c r="B420" s="432" t="s">
        <v>966</v>
      </c>
      <c r="C420" s="433" t="s">
        <v>23</v>
      </c>
      <c r="D420" s="433">
        <v>5</v>
      </c>
      <c r="E420" s="433">
        <v>236.615523</v>
      </c>
      <c r="F420" s="490">
        <f t="shared" si="116"/>
        <v>1183.08</v>
      </c>
      <c r="G420" s="483">
        <v>5</v>
      </c>
      <c r="H420" s="433">
        <v>1183.0776149999999</v>
      </c>
      <c r="I420" s="435">
        <f t="shared" si="117"/>
        <v>0.99999798407546403</v>
      </c>
      <c r="J420" s="433">
        <f t="shared" si="118"/>
        <v>0</v>
      </c>
      <c r="K420" s="433">
        <f t="shared" si="119"/>
        <v>0</v>
      </c>
      <c r="L420" s="435">
        <f t="shared" si="120"/>
        <v>0</v>
      </c>
      <c r="M420" s="454">
        <f t="shared" si="121"/>
        <v>1183.08</v>
      </c>
      <c r="N420" s="420"/>
      <c r="O420" s="420">
        <f t="shared" si="113"/>
        <v>0</v>
      </c>
      <c r="P420" s="454"/>
      <c r="R420" s="454"/>
    </row>
    <row r="421" spans="1:18" s="402" customFormat="1" ht="31.5" x14ac:dyDescent="0.2">
      <c r="A421" s="414">
        <v>240115</v>
      </c>
      <c r="B421" s="432" t="s">
        <v>967</v>
      </c>
      <c r="C421" s="433" t="s">
        <v>35</v>
      </c>
      <c r="D421" s="433">
        <v>4</v>
      </c>
      <c r="E421" s="433">
        <v>52.049957999999997</v>
      </c>
      <c r="F421" s="490">
        <f t="shared" si="116"/>
        <v>208.2</v>
      </c>
      <c r="G421" s="483">
        <v>4</v>
      </c>
      <c r="H421" s="433">
        <v>208.19983199999999</v>
      </c>
      <c r="I421" s="435">
        <f t="shared" si="117"/>
        <v>0.99999919308357343</v>
      </c>
      <c r="J421" s="433">
        <f t="shared" si="118"/>
        <v>0</v>
      </c>
      <c r="K421" s="433">
        <f t="shared" si="119"/>
        <v>0</v>
      </c>
      <c r="L421" s="435">
        <f t="shared" si="120"/>
        <v>0</v>
      </c>
      <c r="M421" s="454">
        <f t="shared" si="121"/>
        <v>208.2</v>
      </c>
      <c r="N421" s="420"/>
      <c r="O421" s="420">
        <f t="shared" si="113"/>
        <v>0</v>
      </c>
      <c r="P421" s="454"/>
      <c r="R421" s="454"/>
    </row>
    <row r="422" spans="1:18" s="402" customFormat="1" ht="63" x14ac:dyDescent="0.2">
      <c r="A422" s="414">
        <v>240116</v>
      </c>
      <c r="B422" s="432" t="s">
        <v>968</v>
      </c>
      <c r="C422" s="433" t="s">
        <v>26</v>
      </c>
      <c r="D422" s="433">
        <v>1.5349999999999999</v>
      </c>
      <c r="E422" s="433">
        <v>1864.33</v>
      </c>
      <c r="F422" s="490">
        <f t="shared" si="116"/>
        <v>2861.75</v>
      </c>
      <c r="G422" s="483">
        <v>1.5349999999999999</v>
      </c>
      <c r="H422" s="433">
        <v>2861.7465499999998</v>
      </c>
      <c r="I422" s="435">
        <f t="shared" si="117"/>
        <v>0.99999879444395912</v>
      </c>
      <c r="J422" s="433">
        <f t="shared" si="118"/>
        <v>0</v>
      </c>
      <c r="K422" s="433">
        <f t="shared" si="119"/>
        <v>0</v>
      </c>
      <c r="L422" s="435">
        <f t="shared" si="120"/>
        <v>0</v>
      </c>
      <c r="M422" s="454">
        <f t="shared" si="121"/>
        <v>2861.75</v>
      </c>
      <c r="N422" s="420"/>
      <c r="O422" s="420">
        <f t="shared" si="113"/>
        <v>0</v>
      </c>
      <c r="P422" s="454"/>
      <c r="R422" s="454"/>
    </row>
    <row r="423" spans="1:18" s="402" customFormat="1" ht="63" x14ac:dyDescent="0.2">
      <c r="A423" s="414">
        <v>240117</v>
      </c>
      <c r="B423" s="432" t="s">
        <v>969</v>
      </c>
      <c r="C423" s="433" t="s">
        <v>35</v>
      </c>
      <c r="D423" s="433">
        <v>3.92</v>
      </c>
      <c r="E423" s="433">
        <v>173.04</v>
      </c>
      <c r="F423" s="490">
        <f t="shared" si="116"/>
        <v>678.32</v>
      </c>
      <c r="G423" s="483">
        <v>3.92</v>
      </c>
      <c r="H423" s="433">
        <v>678.31679999999994</v>
      </c>
      <c r="I423" s="435">
        <f t="shared" si="117"/>
        <v>0.99999528246255442</v>
      </c>
      <c r="J423" s="433">
        <f t="shared" si="118"/>
        <v>0</v>
      </c>
      <c r="K423" s="433">
        <f t="shared" si="119"/>
        <v>0</v>
      </c>
      <c r="L423" s="435">
        <f t="shared" si="120"/>
        <v>0</v>
      </c>
      <c r="M423" s="454">
        <f t="shared" si="121"/>
        <v>678.32</v>
      </c>
      <c r="N423" s="420"/>
      <c r="O423" s="420">
        <f t="shared" si="113"/>
        <v>0</v>
      </c>
      <c r="P423" s="454"/>
      <c r="R423" s="454"/>
    </row>
    <row r="424" spans="1:18" s="402" customFormat="1" ht="63" x14ac:dyDescent="0.2">
      <c r="A424" s="414">
        <v>240118</v>
      </c>
      <c r="B424" s="432" t="s">
        <v>970</v>
      </c>
      <c r="C424" s="433" t="s">
        <v>26</v>
      </c>
      <c r="D424" s="433">
        <v>91</v>
      </c>
      <c r="E424" s="433">
        <v>43.11</v>
      </c>
      <c r="F424" s="490">
        <f t="shared" si="116"/>
        <v>3923.01</v>
      </c>
      <c r="G424" s="483">
        <v>91</v>
      </c>
      <c r="H424" s="433">
        <v>3923.0099999999998</v>
      </c>
      <c r="I424" s="435">
        <f t="shared" si="117"/>
        <v>0.99999999999999989</v>
      </c>
      <c r="J424" s="433">
        <f t="shared" si="118"/>
        <v>0</v>
      </c>
      <c r="K424" s="433">
        <f t="shared" si="119"/>
        <v>0</v>
      </c>
      <c r="L424" s="435">
        <f t="shared" si="120"/>
        <v>0</v>
      </c>
      <c r="M424" s="454">
        <f t="shared" si="121"/>
        <v>3923.01</v>
      </c>
      <c r="N424" s="420"/>
      <c r="O424" s="420">
        <f t="shared" si="113"/>
        <v>0</v>
      </c>
      <c r="P424" s="454"/>
      <c r="R424" s="454"/>
    </row>
    <row r="425" spans="1:18" s="402" customFormat="1" ht="31.5" x14ac:dyDescent="0.2">
      <c r="A425" s="414">
        <v>240119</v>
      </c>
      <c r="B425" s="432" t="s">
        <v>971</v>
      </c>
      <c r="C425" s="433" t="s">
        <v>35</v>
      </c>
      <c r="D425" s="433">
        <v>40</v>
      </c>
      <c r="E425" s="433">
        <v>160.24</v>
      </c>
      <c r="F425" s="490">
        <f t="shared" si="116"/>
        <v>6409.6</v>
      </c>
      <c r="G425" s="483">
        <v>40</v>
      </c>
      <c r="H425" s="433">
        <v>6409.6</v>
      </c>
      <c r="I425" s="435">
        <f t="shared" si="117"/>
        <v>1</v>
      </c>
      <c r="J425" s="433">
        <f t="shared" si="118"/>
        <v>0</v>
      </c>
      <c r="K425" s="433">
        <f t="shared" si="119"/>
        <v>0</v>
      </c>
      <c r="L425" s="435">
        <f t="shared" si="120"/>
        <v>0</v>
      </c>
      <c r="M425" s="454">
        <f t="shared" si="121"/>
        <v>6409.6</v>
      </c>
      <c r="N425" s="420"/>
      <c r="O425" s="420">
        <f t="shared" si="113"/>
        <v>0</v>
      </c>
      <c r="P425" s="454"/>
      <c r="R425" s="454"/>
    </row>
    <row r="426" spans="1:18" s="402" customFormat="1" ht="15.75" x14ac:dyDescent="0.2">
      <c r="A426" s="414"/>
      <c r="B426" s="432" t="s">
        <v>766</v>
      </c>
      <c r="C426" s="433"/>
      <c r="D426" s="433"/>
      <c r="E426" s="433"/>
      <c r="F426" s="490">
        <f t="shared" si="116"/>
        <v>0</v>
      </c>
      <c r="G426" s="483">
        <v>0</v>
      </c>
      <c r="H426" s="433">
        <v>0</v>
      </c>
      <c r="I426" s="435">
        <f t="shared" si="117"/>
        <v>0</v>
      </c>
      <c r="J426" s="433">
        <f t="shared" si="118"/>
        <v>0</v>
      </c>
      <c r="K426" s="433">
        <f t="shared" si="119"/>
        <v>0</v>
      </c>
      <c r="L426" s="435">
        <f t="shared" si="120"/>
        <v>0</v>
      </c>
      <c r="M426" s="454">
        <f t="shared" si="121"/>
        <v>0</v>
      </c>
      <c r="N426" s="420"/>
      <c r="O426" s="420">
        <f t="shared" si="113"/>
        <v>0</v>
      </c>
      <c r="P426" s="454"/>
      <c r="R426" s="454"/>
    </row>
    <row r="427" spans="1:18" s="402" customFormat="1" ht="47.25" x14ac:dyDescent="0.2">
      <c r="A427" s="414">
        <v>240201</v>
      </c>
      <c r="B427" s="432" t="s">
        <v>972</v>
      </c>
      <c r="C427" s="433" t="s">
        <v>944</v>
      </c>
      <c r="D427" s="433">
        <v>4</v>
      </c>
      <c r="E427" s="433">
        <v>223.65</v>
      </c>
      <c r="F427" s="490">
        <f t="shared" si="116"/>
        <v>894.6</v>
      </c>
      <c r="G427" s="483">
        <v>4</v>
      </c>
      <c r="H427" s="433">
        <v>894.6</v>
      </c>
      <c r="I427" s="435">
        <f t="shared" si="117"/>
        <v>1</v>
      </c>
      <c r="J427" s="433">
        <f t="shared" si="118"/>
        <v>0</v>
      </c>
      <c r="K427" s="433">
        <f t="shared" si="119"/>
        <v>0</v>
      </c>
      <c r="L427" s="435">
        <f t="shared" si="120"/>
        <v>0</v>
      </c>
      <c r="M427" s="454">
        <f t="shared" si="121"/>
        <v>894.6</v>
      </c>
      <c r="N427" s="420"/>
      <c r="O427" s="420">
        <f t="shared" si="113"/>
        <v>0</v>
      </c>
      <c r="P427" s="454"/>
      <c r="R427" s="454"/>
    </row>
    <row r="428" spans="1:18" s="402" customFormat="1" ht="31.5" x14ac:dyDescent="0.2">
      <c r="A428" s="414">
        <v>240202</v>
      </c>
      <c r="B428" s="432" t="s">
        <v>973</v>
      </c>
      <c r="C428" s="433" t="s">
        <v>944</v>
      </c>
      <c r="D428" s="433">
        <v>10</v>
      </c>
      <c r="E428" s="433">
        <v>186.97</v>
      </c>
      <c r="F428" s="490">
        <f t="shared" si="116"/>
        <v>1869.7</v>
      </c>
      <c r="G428" s="483">
        <v>10</v>
      </c>
      <c r="H428" s="433">
        <v>1869.7</v>
      </c>
      <c r="I428" s="435">
        <f t="shared" si="117"/>
        <v>1</v>
      </c>
      <c r="J428" s="433">
        <f t="shared" si="118"/>
        <v>0</v>
      </c>
      <c r="K428" s="433">
        <f t="shared" si="119"/>
        <v>0</v>
      </c>
      <c r="L428" s="435">
        <f t="shared" si="120"/>
        <v>0</v>
      </c>
      <c r="M428" s="454">
        <f t="shared" si="121"/>
        <v>1869.7</v>
      </c>
      <c r="N428" s="420"/>
      <c r="O428" s="420">
        <f t="shared" si="113"/>
        <v>0</v>
      </c>
      <c r="P428" s="454"/>
      <c r="R428" s="454"/>
    </row>
    <row r="429" spans="1:18" s="402" customFormat="1" ht="31.5" x14ac:dyDescent="0.2">
      <c r="A429" s="414">
        <v>240203</v>
      </c>
      <c r="B429" s="432" t="s">
        <v>974</v>
      </c>
      <c r="C429" s="433" t="s">
        <v>944</v>
      </c>
      <c r="D429" s="433">
        <v>1</v>
      </c>
      <c r="E429" s="433">
        <v>2757.58</v>
      </c>
      <c r="F429" s="490">
        <f t="shared" si="116"/>
        <v>2757.58</v>
      </c>
      <c r="G429" s="483">
        <v>1</v>
      </c>
      <c r="H429" s="433">
        <v>2757.58</v>
      </c>
      <c r="I429" s="435">
        <f t="shared" si="117"/>
        <v>1</v>
      </c>
      <c r="J429" s="433">
        <f t="shared" si="118"/>
        <v>0</v>
      </c>
      <c r="K429" s="433">
        <f t="shared" si="119"/>
        <v>0</v>
      </c>
      <c r="L429" s="435">
        <f t="shared" si="120"/>
        <v>0</v>
      </c>
      <c r="M429" s="454">
        <f t="shared" si="121"/>
        <v>2757.58</v>
      </c>
      <c r="N429" s="420"/>
      <c r="O429" s="420">
        <f t="shared" si="113"/>
        <v>0</v>
      </c>
      <c r="P429" s="454"/>
      <c r="R429" s="454"/>
    </row>
    <row r="430" spans="1:18" s="402" customFormat="1" ht="31.5" x14ac:dyDescent="0.2">
      <c r="A430" s="414">
        <v>240204</v>
      </c>
      <c r="B430" s="432" t="s">
        <v>975</v>
      </c>
      <c r="C430" s="433" t="s">
        <v>944</v>
      </c>
      <c r="D430" s="433">
        <v>7</v>
      </c>
      <c r="E430" s="433">
        <v>876.43</v>
      </c>
      <c r="F430" s="490">
        <f t="shared" si="116"/>
        <v>6135.01</v>
      </c>
      <c r="G430" s="483">
        <v>7</v>
      </c>
      <c r="H430" s="433">
        <v>6135.0099999999993</v>
      </c>
      <c r="I430" s="435">
        <f>IF(F429=0,0,H429/F429)</f>
        <v>1</v>
      </c>
      <c r="J430" s="433">
        <f t="shared" si="118"/>
        <v>0</v>
      </c>
      <c r="K430" s="433">
        <f t="shared" si="119"/>
        <v>0</v>
      </c>
      <c r="L430" s="435">
        <f t="shared" si="120"/>
        <v>0</v>
      </c>
      <c r="M430" s="454">
        <f t="shared" si="121"/>
        <v>6135.01</v>
      </c>
      <c r="N430" s="420"/>
      <c r="O430" s="420">
        <f t="shared" si="113"/>
        <v>0</v>
      </c>
      <c r="P430" s="454"/>
      <c r="R430" s="454"/>
    </row>
    <row r="431" spans="1:18" s="402" customFormat="1" ht="45.75" customHeight="1" x14ac:dyDescent="0.2">
      <c r="A431" s="414">
        <v>240205</v>
      </c>
      <c r="B431" s="432" t="s">
        <v>976</v>
      </c>
      <c r="C431" s="433" t="s">
        <v>944</v>
      </c>
      <c r="D431" s="433">
        <v>2</v>
      </c>
      <c r="E431" s="433">
        <v>308.93456099999997</v>
      </c>
      <c r="F431" s="490">
        <f t="shared" si="116"/>
        <v>617.87</v>
      </c>
      <c r="G431" s="483">
        <v>2</v>
      </c>
      <c r="H431" s="433">
        <v>617.86912199999995</v>
      </c>
      <c r="I431" s="435">
        <f t="shared" ref="I431:I440" si="122">IF(F431=0,0,H431/F431)</f>
        <v>0.9999985789891076</v>
      </c>
      <c r="J431" s="433">
        <f t="shared" si="118"/>
        <v>0</v>
      </c>
      <c r="K431" s="433">
        <f t="shared" si="119"/>
        <v>0</v>
      </c>
      <c r="L431" s="435">
        <f t="shared" si="120"/>
        <v>0</v>
      </c>
      <c r="M431" s="454">
        <f t="shared" si="121"/>
        <v>617.87</v>
      </c>
      <c r="N431" s="420"/>
      <c r="O431" s="420">
        <f t="shared" si="113"/>
        <v>0</v>
      </c>
      <c r="P431" s="454"/>
      <c r="R431" s="454"/>
    </row>
    <row r="432" spans="1:18" s="402" customFormat="1" ht="31.5" customHeight="1" x14ac:dyDescent="0.2">
      <c r="A432" s="414">
        <v>240206</v>
      </c>
      <c r="B432" s="432" t="s">
        <v>977</v>
      </c>
      <c r="C432" s="433" t="s">
        <v>26</v>
      </c>
      <c r="D432" s="433">
        <v>40</v>
      </c>
      <c r="E432" s="433">
        <v>85.75</v>
      </c>
      <c r="F432" s="490">
        <f t="shared" si="116"/>
        <v>3430</v>
      </c>
      <c r="G432" s="483">
        <v>40</v>
      </c>
      <c r="H432" s="433">
        <v>3430</v>
      </c>
      <c r="I432" s="435">
        <f t="shared" si="122"/>
        <v>1</v>
      </c>
      <c r="J432" s="433">
        <f t="shared" si="118"/>
        <v>0</v>
      </c>
      <c r="K432" s="433">
        <f t="shared" si="119"/>
        <v>0</v>
      </c>
      <c r="L432" s="435">
        <f t="shared" si="120"/>
        <v>0</v>
      </c>
      <c r="M432" s="454">
        <f t="shared" si="121"/>
        <v>3430</v>
      </c>
      <c r="N432" s="420"/>
      <c r="O432" s="420">
        <f t="shared" si="113"/>
        <v>0</v>
      </c>
      <c r="P432" s="454"/>
      <c r="R432" s="454"/>
    </row>
    <row r="433" spans="1:18" s="402" customFormat="1" ht="21" customHeight="1" x14ac:dyDescent="0.2">
      <c r="A433" s="414">
        <v>240207</v>
      </c>
      <c r="B433" s="432" t="s">
        <v>978</v>
      </c>
      <c r="C433" s="433" t="s">
        <v>26</v>
      </c>
      <c r="D433" s="433">
        <v>6</v>
      </c>
      <c r="E433" s="433">
        <v>166.81712699999997</v>
      </c>
      <c r="F433" s="490">
        <f t="shared" si="116"/>
        <v>1000.9</v>
      </c>
      <c r="G433" s="483">
        <v>6</v>
      </c>
      <c r="H433" s="433">
        <v>1000.9027619999998</v>
      </c>
      <c r="I433" s="435">
        <f t="shared" si="122"/>
        <v>1.0000027595164351</v>
      </c>
      <c r="J433" s="433">
        <f t="shared" si="118"/>
        <v>0</v>
      </c>
      <c r="K433" s="433">
        <f t="shared" si="119"/>
        <v>0</v>
      </c>
      <c r="L433" s="435">
        <f t="shared" si="120"/>
        <v>0</v>
      </c>
      <c r="M433" s="454">
        <f t="shared" si="121"/>
        <v>1000.9</v>
      </c>
      <c r="N433" s="420"/>
      <c r="O433" s="420">
        <f t="shared" si="113"/>
        <v>0</v>
      </c>
      <c r="P433" s="454"/>
      <c r="R433" s="454"/>
    </row>
    <row r="434" spans="1:18" s="402" customFormat="1" ht="15.75" x14ac:dyDescent="0.2">
      <c r="A434" s="414">
        <v>240208</v>
      </c>
      <c r="B434" s="432" t="s">
        <v>979</v>
      </c>
      <c r="C434" s="433" t="s">
        <v>26</v>
      </c>
      <c r="D434" s="433">
        <v>37.699199999999998</v>
      </c>
      <c r="E434" s="433">
        <v>2.6115929999999996</v>
      </c>
      <c r="F434" s="490">
        <f t="shared" si="116"/>
        <v>98.45</v>
      </c>
      <c r="G434" s="483">
        <v>37.699199999999998</v>
      </c>
      <c r="H434" s="433">
        <v>98.454966825599982</v>
      </c>
      <c r="I434" s="435">
        <f t="shared" si="122"/>
        <v>1.0000504502346366</v>
      </c>
      <c r="J434" s="433">
        <f t="shared" si="118"/>
        <v>0</v>
      </c>
      <c r="K434" s="433">
        <f t="shared" si="119"/>
        <v>0</v>
      </c>
      <c r="L434" s="435">
        <f t="shared" si="120"/>
        <v>0</v>
      </c>
      <c r="M434" s="454">
        <f t="shared" si="121"/>
        <v>98.45</v>
      </c>
      <c r="N434" s="420"/>
      <c r="O434" s="420">
        <f t="shared" si="113"/>
        <v>0</v>
      </c>
      <c r="P434" s="454"/>
      <c r="R434" s="454"/>
    </row>
    <row r="435" spans="1:18" s="402" customFormat="1" ht="15.75" x14ac:dyDescent="0.2">
      <c r="A435" s="414">
        <v>240209</v>
      </c>
      <c r="B435" s="432" t="s">
        <v>980</v>
      </c>
      <c r="C435" s="433" t="s">
        <v>944</v>
      </c>
      <c r="D435" s="433">
        <v>1</v>
      </c>
      <c r="E435" s="433">
        <v>57.935786999999991</v>
      </c>
      <c r="F435" s="490">
        <f t="shared" si="116"/>
        <v>57.94</v>
      </c>
      <c r="G435" s="483">
        <v>1</v>
      </c>
      <c r="H435" s="433">
        <v>57.935786999999991</v>
      </c>
      <c r="I435" s="435">
        <f t="shared" si="122"/>
        <v>0.99992728684846377</v>
      </c>
      <c r="J435" s="433">
        <f t="shared" si="118"/>
        <v>0</v>
      </c>
      <c r="K435" s="433">
        <f t="shared" si="119"/>
        <v>0</v>
      </c>
      <c r="L435" s="435">
        <f t="shared" si="120"/>
        <v>0</v>
      </c>
      <c r="M435" s="454">
        <f t="shared" si="121"/>
        <v>57.94</v>
      </c>
      <c r="N435" s="420"/>
      <c r="O435" s="420">
        <f t="shared" si="113"/>
        <v>0</v>
      </c>
      <c r="P435" s="454"/>
      <c r="R435" s="454"/>
    </row>
    <row r="436" spans="1:18" s="402" customFormat="1" ht="31.5" x14ac:dyDescent="0.2">
      <c r="A436" s="414">
        <v>240210</v>
      </c>
      <c r="B436" s="432" t="s">
        <v>981</v>
      </c>
      <c r="C436" s="433" t="s">
        <v>26</v>
      </c>
      <c r="D436" s="433">
        <v>140</v>
      </c>
      <c r="E436" s="433">
        <v>53.13</v>
      </c>
      <c r="F436" s="490">
        <f t="shared" si="116"/>
        <v>7438.2</v>
      </c>
      <c r="G436" s="483">
        <v>140</v>
      </c>
      <c r="H436" s="433">
        <v>7438.2000000000007</v>
      </c>
      <c r="I436" s="435">
        <f t="shared" si="122"/>
        <v>1.0000000000000002</v>
      </c>
      <c r="J436" s="433">
        <f t="shared" si="118"/>
        <v>0</v>
      </c>
      <c r="K436" s="433">
        <f t="shared" si="119"/>
        <v>0</v>
      </c>
      <c r="L436" s="435">
        <f t="shared" si="120"/>
        <v>0</v>
      </c>
      <c r="M436" s="454">
        <f t="shared" si="121"/>
        <v>7438.2</v>
      </c>
      <c r="N436" s="420"/>
      <c r="O436" s="420">
        <f t="shared" si="113"/>
        <v>0</v>
      </c>
      <c r="P436" s="454"/>
      <c r="R436" s="454"/>
    </row>
    <row r="437" spans="1:18" s="402" customFormat="1" ht="47.25" x14ac:dyDescent="0.2">
      <c r="A437" s="414">
        <v>240211</v>
      </c>
      <c r="B437" s="432" t="s">
        <v>982</v>
      </c>
      <c r="C437" s="433" t="s">
        <v>944</v>
      </c>
      <c r="D437" s="433">
        <v>10</v>
      </c>
      <c r="E437" s="433">
        <v>1431.360852</v>
      </c>
      <c r="F437" s="490">
        <f t="shared" si="116"/>
        <v>14313.61</v>
      </c>
      <c r="G437" s="483">
        <v>10</v>
      </c>
      <c r="H437" s="433">
        <v>14313.60852</v>
      </c>
      <c r="I437" s="435">
        <f t="shared" si="122"/>
        <v>0.99999989660190536</v>
      </c>
      <c r="J437" s="433">
        <f t="shared" si="118"/>
        <v>0</v>
      </c>
      <c r="K437" s="433">
        <f t="shared" si="119"/>
        <v>0</v>
      </c>
      <c r="L437" s="435">
        <f t="shared" si="120"/>
        <v>0</v>
      </c>
      <c r="M437" s="454">
        <f t="shared" si="121"/>
        <v>14313.61</v>
      </c>
      <c r="N437" s="420"/>
      <c r="O437" s="420">
        <f t="shared" si="113"/>
        <v>0</v>
      </c>
      <c r="P437" s="454"/>
      <c r="R437" s="454"/>
    </row>
    <row r="438" spans="1:18" s="402" customFormat="1" ht="47.25" x14ac:dyDescent="0.2">
      <c r="A438" s="414">
        <v>240212</v>
      </c>
      <c r="B438" s="432" t="s">
        <v>983</v>
      </c>
      <c r="C438" s="433" t="s">
        <v>944</v>
      </c>
      <c r="D438" s="433">
        <v>15</v>
      </c>
      <c r="E438" s="433">
        <v>521.30514600000004</v>
      </c>
      <c r="F438" s="490">
        <f t="shared" si="116"/>
        <v>7819.58</v>
      </c>
      <c r="G438" s="483">
        <v>15</v>
      </c>
      <c r="H438" s="433">
        <v>7819.5771900000009</v>
      </c>
      <c r="I438" s="435">
        <f t="shared" si="122"/>
        <v>0.99999964064566138</v>
      </c>
      <c r="J438" s="433">
        <f t="shared" si="118"/>
        <v>0</v>
      </c>
      <c r="K438" s="433">
        <f t="shared" si="119"/>
        <v>0</v>
      </c>
      <c r="L438" s="435">
        <f t="shared" si="120"/>
        <v>0</v>
      </c>
      <c r="M438" s="454">
        <f t="shared" si="121"/>
        <v>7819.58</v>
      </c>
      <c r="N438" s="420"/>
      <c r="O438" s="420">
        <f t="shared" si="113"/>
        <v>0</v>
      </c>
      <c r="P438" s="454"/>
      <c r="R438" s="454"/>
    </row>
    <row r="439" spans="1:18" s="402" customFormat="1" ht="79.5" customHeight="1" x14ac:dyDescent="0.2">
      <c r="A439" s="414">
        <v>240213</v>
      </c>
      <c r="B439" s="432" t="s">
        <v>984</v>
      </c>
      <c r="C439" s="433" t="s">
        <v>23</v>
      </c>
      <c r="D439" s="433">
        <v>5</v>
      </c>
      <c r="E439" s="433">
        <v>10708.219249</v>
      </c>
      <c r="F439" s="490">
        <f t="shared" si="116"/>
        <v>53541.1</v>
      </c>
      <c r="G439" s="483">
        <v>5</v>
      </c>
      <c r="H439" s="433">
        <v>53541.096245000001</v>
      </c>
      <c r="I439" s="435">
        <f t="shared" si="122"/>
        <v>0.99999992986696207</v>
      </c>
      <c r="J439" s="433">
        <f t="shared" si="118"/>
        <v>0</v>
      </c>
      <c r="K439" s="433">
        <f t="shared" si="119"/>
        <v>0</v>
      </c>
      <c r="L439" s="435">
        <f t="shared" si="120"/>
        <v>0</v>
      </c>
      <c r="M439" s="454">
        <f t="shared" si="121"/>
        <v>53541.1</v>
      </c>
      <c r="N439" s="420"/>
      <c r="O439" s="420">
        <f t="shared" si="113"/>
        <v>0</v>
      </c>
      <c r="P439" s="454"/>
      <c r="R439" s="454"/>
    </row>
    <row r="440" spans="1:18" s="402" customFormat="1" ht="63" x14ac:dyDescent="0.2">
      <c r="A440" s="414">
        <v>240214</v>
      </c>
      <c r="B440" s="432" t="s">
        <v>985</v>
      </c>
      <c r="C440" s="433" t="s">
        <v>23</v>
      </c>
      <c r="D440" s="433">
        <v>5</v>
      </c>
      <c r="E440" s="433">
        <v>339.2</v>
      </c>
      <c r="F440" s="490">
        <f t="shared" si="116"/>
        <v>1696</v>
      </c>
      <c r="G440" s="483">
        <v>5</v>
      </c>
      <c r="H440" s="433">
        <v>1696</v>
      </c>
      <c r="I440" s="435">
        <f t="shared" si="122"/>
        <v>1</v>
      </c>
      <c r="J440" s="433">
        <f t="shared" si="118"/>
        <v>0</v>
      </c>
      <c r="K440" s="433">
        <f t="shared" si="119"/>
        <v>0</v>
      </c>
      <c r="L440" s="435">
        <f t="shared" si="120"/>
        <v>0</v>
      </c>
      <c r="M440" s="454">
        <f t="shared" si="121"/>
        <v>1696</v>
      </c>
      <c r="N440" s="420"/>
      <c r="O440" s="420">
        <f t="shared" si="113"/>
        <v>0</v>
      </c>
      <c r="P440" s="454"/>
      <c r="R440" s="454"/>
    </row>
    <row r="441" spans="1:18" ht="15.75" x14ac:dyDescent="0.2">
      <c r="A441" s="469"/>
      <c r="B441" s="472" t="s">
        <v>952</v>
      </c>
      <c r="C441" s="450"/>
      <c r="D441" s="450"/>
      <c r="E441" s="450"/>
      <c r="F441" s="494">
        <f>SUM(F407:F440)</f>
        <v>386285.17000000004</v>
      </c>
      <c r="G441" s="440"/>
      <c r="H441" s="465">
        <v>384997.72312182566</v>
      </c>
      <c r="I441" s="431">
        <f>H441/F441</f>
        <v>0.99666710767546585</v>
      </c>
      <c r="J441" s="430"/>
      <c r="K441" s="425">
        <f>SUM(K407:K440)</f>
        <v>1287.4100000000001</v>
      </c>
      <c r="L441" s="429">
        <f t="shared" si="120"/>
        <v>3.3327968557529662E-3</v>
      </c>
      <c r="M441" s="454">
        <f t="shared" si="121"/>
        <v>384997.76000000007</v>
      </c>
      <c r="N441" s="420"/>
      <c r="O441" s="420">
        <f t="shared" si="113"/>
        <v>1287.4100000000001</v>
      </c>
      <c r="P441" s="420"/>
      <c r="R441" s="420"/>
    </row>
    <row r="442" spans="1:18" ht="15.75" x14ac:dyDescent="0.2">
      <c r="A442" s="436"/>
      <c r="B442" s="422"/>
      <c r="C442" s="424"/>
      <c r="D442" s="424"/>
      <c r="E442" s="424"/>
      <c r="F442" s="427"/>
      <c r="G442" s="440"/>
      <c r="H442" s="437"/>
      <c r="I442" s="431"/>
      <c r="J442" s="430"/>
      <c r="K442" s="425"/>
      <c r="L442" s="429"/>
      <c r="M442" s="454">
        <f t="shared" si="121"/>
        <v>0</v>
      </c>
      <c r="N442" s="420"/>
      <c r="O442" s="420">
        <f t="shared" si="113"/>
        <v>0</v>
      </c>
      <c r="P442" s="420"/>
      <c r="R442" s="420"/>
    </row>
    <row r="443" spans="1:18" ht="15.75" x14ac:dyDescent="0.2">
      <c r="A443" s="421">
        <v>25</v>
      </c>
      <c r="B443" s="422" t="s">
        <v>986</v>
      </c>
      <c r="C443" s="457"/>
      <c r="D443" s="457"/>
      <c r="E443" s="457"/>
      <c r="F443" s="493"/>
      <c r="G443" s="440"/>
      <c r="H443" s="437"/>
      <c r="I443" s="431"/>
      <c r="J443" s="430"/>
      <c r="K443" s="425"/>
      <c r="L443" s="429"/>
      <c r="M443" s="454">
        <f t="shared" si="121"/>
        <v>0</v>
      </c>
      <c r="N443" s="420"/>
      <c r="O443" s="420">
        <f t="shared" si="113"/>
        <v>0</v>
      </c>
      <c r="P443" s="476">
        <v>1.497504159733777E-3</v>
      </c>
      <c r="R443" s="420"/>
    </row>
    <row r="444" spans="1:18" ht="15.75" x14ac:dyDescent="0.2">
      <c r="A444" s="469"/>
      <c r="B444" s="470" t="s">
        <v>949</v>
      </c>
      <c r="C444" s="450"/>
      <c r="D444" s="450"/>
      <c r="E444" s="450"/>
      <c r="F444" s="492"/>
      <c r="G444" s="440"/>
      <c r="H444" s="437"/>
      <c r="I444" s="431"/>
      <c r="J444" s="430"/>
      <c r="K444" s="425"/>
      <c r="L444" s="429"/>
      <c r="M444" s="454">
        <f t="shared" si="121"/>
        <v>0</v>
      </c>
      <c r="N444" s="420"/>
      <c r="O444" s="420">
        <f t="shared" si="113"/>
        <v>0</v>
      </c>
      <c r="P444" s="420"/>
      <c r="R444" s="420"/>
    </row>
    <row r="445" spans="1:18" s="402" customFormat="1" ht="15.75" x14ac:dyDescent="0.2">
      <c r="A445" s="414">
        <v>250101</v>
      </c>
      <c r="B445" s="432" t="s">
        <v>388</v>
      </c>
      <c r="C445" s="433" t="s">
        <v>35</v>
      </c>
      <c r="D445" s="433">
        <v>146.09</v>
      </c>
      <c r="E445" s="433">
        <v>12.8</v>
      </c>
      <c r="F445" s="490">
        <f t="shared" ref="F445" si="123">ROUND((E445*D445),2)</f>
        <v>1869.95</v>
      </c>
      <c r="G445" s="483">
        <v>146.09</v>
      </c>
      <c r="H445" s="433">
        <v>1869.9520000000002</v>
      </c>
      <c r="I445" s="435">
        <f>IF(F445=0,0,H445/F445)</f>
        <v>1.0000010695473143</v>
      </c>
      <c r="J445" s="433">
        <f>D445-G445</f>
        <v>0</v>
      </c>
      <c r="K445" s="433">
        <f>ROUND((J445*E445),2)</f>
        <v>0</v>
      </c>
      <c r="L445" s="435">
        <f>IF(F445=0,0,K445/F445)</f>
        <v>0</v>
      </c>
      <c r="M445" s="454">
        <f t="shared" si="121"/>
        <v>1869.95</v>
      </c>
      <c r="N445" s="420"/>
      <c r="O445" s="420">
        <f t="shared" si="113"/>
        <v>0</v>
      </c>
      <c r="P445" s="454"/>
      <c r="R445" s="454"/>
    </row>
    <row r="446" spans="1:18" ht="15.75" x14ac:dyDescent="0.2">
      <c r="A446" s="466"/>
      <c r="B446" s="467" t="s">
        <v>429</v>
      </c>
      <c r="C446" s="468">
        <v>0</v>
      </c>
      <c r="D446" s="424">
        <v>0</v>
      </c>
      <c r="E446" s="424"/>
      <c r="F446" s="427"/>
      <c r="G446" s="440"/>
      <c r="H446" s="437"/>
      <c r="I446" s="431"/>
      <c r="J446" s="430"/>
      <c r="K446" s="425"/>
      <c r="L446" s="429"/>
      <c r="M446" s="454">
        <f t="shared" si="121"/>
        <v>0</v>
      </c>
      <c r="N446" s="420"/>
      <c r="O446" s="420">
        <f t="shared" si="113"/>
        <v>0</v>
      </c>
      <c r="P446" s="420"/>
      <c r="R446" s="420"/>
    </row>
    <row r="447" spans="1:18" ht="15.75" x14ac:dyDescent="0.2">
      <c r="A447" s="466"/>
      <c r="B447" s="467" t="s">
        <v>987</v>
      </c>
      <c r="C447" s="468">
        <v>0</v>
      </c>
      <c r="D447" s="424">
        <v>0</v>
      </c>
      <c r="E447" s="424"/>
      <c r="F447" s="427"/>
      <c r="G447" s="440"/>
      <c r="H447" s="437"/>
      <c r="I447" s="431"/>
      <c r="J447" s="430"/>
      <c r="K447" s="425"/>
      <c r="L447" s="429"/>
      <c r="M447" s="454">
        <f t="shared" si="121"/>
        <v>0</v>
      </c>
      <c r="N447" s="420"/>
      <c r="O447" s="420">
        <f t="shared" si="113"/>
        <v>0</v>
      </c>
      <c r="P447" s="420"/>
      <c r="R447" s="420"/>
    </row>
    <row r="448" spans="1:18" s="402" customFormat="1" ht="31.5" x14ac:dyDescent="0.2">
      <c r="A448" s="414">
        <v>250102</v>
      </c>
      <c r="B448" s="432" t="s">
        <v>431</v>
      </c>
      <c r="C448" s="433" t="s">
        <v>340</v>
      </c>
      <c r="D448" s="433">
        <v>132.54</v>
      </c>
      <c r="E448" s="433">
        <v>60.1</v>
      </c>
      <c r="F448" s="490">
        <f t="shared" ref="F448" si="124">ROUND((E448*D448),2)</f>
        <v>7965.65</v>
      </c>
      <c r="G448" s="483">
        <v>132.54000000000002</v>
      </c>
      <c r="H448" s="433">
        <v>7965.6540000000005</v>
      </c>
      <c r="I448" s="435">
        <f>IF(F448=0,0,H448/F448)</f>
        <v>1.0000005021561329</v>
      </c>
      <c r="J448" s="433">
        <f>D448-G448</f>
        <v>0</v>
      </c>
      <c r="K448" s="433">
        <f>ROUND((J448*E448),2)</f>
        <v>0</v>
      </c>
      <c r="L448" s="435">
        <f>IF(F448=0,0,K448/F448)</f>
        <v>0</v>
      </c>
      <c r="M448" s="454">
        <f t="shared" si="121"/>
        <v>7965.65</v>
      </c>
      <c r="N448" s="420"/>
      <c r="O448" s="420">
        <f t="shared" si="113"/>
        <v>0</v>
      </c>
      <c r="P448" s="454"/>
      <c r="R448" s="454"/>
    </row>
    <row r="449" spans="1:18" ht="15.75" x14ac:dyDescent="0.2">
      <c r="A449" s="466"/>
      <c r="B449" s="467" t="s">
        <v>926</v>
      </c>
      <c r="C449" s="468">
        <v>0</v>
      </c>
      <c r="D449" s="424">
        <v>0</v>
      </c>
      <c r="E449" s="424"/>
      <c r="F449" s="427"/>
      <c r="G449" s="440"/>
      <c r="H449" s="437"/>
      <c r="I449" s="431"/>
      <c r="J449" s="430"/>
      <c r="K449" s="425"/>
      <c r="L449" s="429"/>
      <c r="M449" s="454">
        <f t="shared" si="121"/>
        <v>0</v>
      </c>
      <c r="N449" s="420"/>
      <c r="O449" s="420">
        <f t="shared" si="113"/>
        <v>0</v>
      </c>
      <c r="P449" s="420"/>
      <c r="R449" s="420"/>
    </row>
    <row r="450" spans="1:18" s="402" customFormat="1" ht="31.5" x14ac:dyDescent="0.2">
      <c r="A450" s="414">
        <v>250103</v>
      </c>
      <c r="B450" s="432" t="s">
        <v>436</v>
      </c>
      <c r="C450" s="433" t="s">
        <v>340</v>
      </c>
      <c r="D450" s="433">
        <v>78.42</v>
      </c>
      <c r="E450" s="433">
        <v>64.739999999999995</v>
      </c>
      <c r="F450" s="490">
        <f t="shared" ref="F450:F451" si="125">ROUND((E450*D450),2)</f>
        <v>5076.91</v>
      </c>
      <c r="G450" s="483">
        <v>78.42</v>
      </c>
      <c r="H450" s="433">
        <v>5076.9107999999997</v>
      </c>
      <c r="I450" s="435">
        <f>IF(F450=0,0,H450/F450)</f>
        <v>1.0000001575761635</v>
      </c>
      <c r="J450" s="433">
        <f>D450-G450</f>
        <v>0</v>
      </c>
      <c r="K450" s="433">
        <f>ROUND((J450*E450),2)</f>
        <v>0</v>
      </c>
      <c r="L450" s="435">
        <f>IF(F450=0,0,K450/F450)</f>
        <v>0</v>
      </c>
      <c r="M450" s="454">
        <f t="shared" si="121"/>
        <v>5076.91</v>
      </c>
      <c r="N450" s="420"/>
      <c r="O450" s="420">
        <f t="shared" si="113"/>
        <v>0</v>
      </c>
      <c r="P450" s="454"/>
      <c r="R450" s="454"/>
    </row>
    <row r="451" spans="1:18" s="402" customFormat="1" ht="47.25" x14ac:dyDescent="0.2">
      <c r="A451" s="414">
        <v>250104</v>
      </c>
      <c r="B451" s="432" t="s">
        <v>988</v>
      </c>
      <c r="C451" s="433" t="s">
        <v>340</v>
      </c>
      <c r="D451" s="433">
        <v>4.47</v>
      </c>
      <c r="E451" s="433">
        <v>221.02</v>
      </c>
      <c r="F451" s="490">
        <f t="shared" si="125"/>
        <v>987.96</v>
      </c>
      <c r="G451" s="483">
        <v>4.47</v>
      </c>
      <c r="H451" s="433">
        <v>987.95939999999996</v>
      </c>
      <c r="I451" s="435">
        <f>IF(F451=0,0,H451/F451)</f>
        <v>0.99999939268796301</v>
      </c>
      <c r="J451" s="433">
        <f>D451-G451</f>
        <v>0</v>
      </c>
      <c r="K451" s="433">
        <f>ROUND((J451*E451),2)</f>
        <v>0</v>
      </c>
      <c r="L451" s="435">
        <f>IF(F451=0,0,K451/F451)</f>
        <v>0</v>
      </c>
      <c r="M451" s="454">
        <f t="shared" si="121"/>
        <v>987.96</v>
      </c>
      <c r="N451" s="420"/>
      <c r="O451" s="420">
        <f t="shared" si="113"/>
        <v>0</v>
      </c>
      <c r="P451" s="454"/>
      <c r="R451" s="454"/>
    </row>
    <row r="452" spans="1:18" ht="15.75" x14ac:dyDescent="0.2">
      <c r="A452" s="466"/>
      <c r="B452" s="467" t="s">
        <v>928</v>
      </c>
      <c r="C452" s="468">
        <v>0</v>
      </c>
      <c r="D452" s="424">
        <v>0</v>
      </c>
      <c r="E452" s="424"/>
      <c r="F452" s="427"/>
      <c r="G452" s="440"/>
      <c r="H452" s="437"/>
      <c r="I452" s="431"/>
      <c r="J452" s="430"/>
      <c r="K452" s="425"/>
      <c r="L452" s="429"/>
      <c r="M452" s="454">
        <f t="shared" si="121"/>
        <v>0</v>
      </c>
      <c r="N452" s="420"/>
      <c r="O452" s="420">
        <f t="shared" si="113"/>
        <v>0</v>
      </c>
      <c r="P452" s="420"/>
      <c r="R452" s="420"/>
    </row>
    <row r="453" spans="1:18" s="402" customFormat="1" ht="63" x14ac:dyDescent="0.2">
      <c r="A453" s="414">
        <v>250105</v>
      </c>
      <c r="B453" s="432" t="s">
        <v>989</v>
      </c>
      <c r="C453" s="433" t="s">
        <v>340</v>
      </c>
      <c r="D453" s="433">
        <v>70.36</v>
      </c>
      <c r="E453" s="433">
        <v>85.54</v>
      </c>
      <c r="F453" s="490">
        <f t="shared" ref="F453" si="126">ROUND((E453*D453),2)</f>
        <v>6018.59</v>
      </c>
      <c r="G453" s="483">
        <v>70.36</v>
      </c>
      <c r="H453" s="433">
        <v>6018.5944</v>
      </c>
      <c r="I453" s="435">
        <f>IF(F453=0,0,H453/F453)</f>
        <v>1.0000007310682402</v>
      </c>
      <c r="J453" s="433">
        <f>D453-G453</f>
        <v>0</v>
      </c>
      <c r="K453" s="433">
        <f>ROUND((J453*E453),2)</f>
        <v>0</v>
      </c>
      <c r="L453" s="435">
        <f>IF(F453=0,0,K453/F453)</f>
        <v>0</v>
      </c>
      <c r="M453" s="454">
        <f t="shared" si="121"/>
        <v>6018.59</v>
      </c>
      <c r="N453" s="420"/>
      <c r="O453" s="420">
        <f t="shared" si="113"/>
        <v>0</v>
      </c>
      <c r="P453" s="454"/>
      <c r="R453" s="454"/>
    </row>
    <row r="454" spans="1:18" ht="15.75" x14ac:dyDescent="0.2">
      <c r="A454" s="466"/>
      <c r="B454" s="467" t="s">
        <v>440</v>
      </c>
      <c r="C454" s="468">
        <v>0</v>
      </c>
      <c r="D454" s="424">
        <v>0</v>
      </c>
      <c r="E454" s="424"/>
      <c r="F454" s="427"/>
      <c r="G454" s="440"/>
      <c r="H454" s="437"/>
      <c r="I454" s="431"/>
      <c r="J454" s="430"/>
      <c r="K454" s="425"/>
      <c r="L454" s="429"/>
      <c r="M454" s="454">
        <f t="shared" si="121"/>
        <v>0</v>
      </c>
      <c r="N454" s="420"/>
      <c r="O454" s="420">
        <f t="shared" si="113"/>
        <v>0</v>
      </c>
      <c r="P454" s="420"/>
      <c r="R454" s="420"/>
    </row>
    <row r="455" spans="1:18" ht="15.75" x14ac:dyDescent="0.2">
      <c r="A455" s="466"/>
      <c r="B455" s="467" t="s">
        <v>990</v>
      </c>
      <c r="C455" s="468">
        <v>0</v>
      </c>
      <c r="D455" s="424">
        <v>0</v>
      </c>
      <c r="E455" s="424"/>
      <c r="F455" s="427"/>
      <c r="G455" s="440"/>
      <c r="H455" s="437"/>
      <c r="I455" s="431"/>
      <c r="J455" s="430"/>
      <c r="K455" s="425"/>
      <c r="L455" s="429"/>
      <c r="M455" s="454">
        <f t="shared" si="121"/>
        <v>0</v>
      </c>
      <c r="N455" s="420"/>
      <c r="O455" s="420">
        <f t="shared" si="113"/>
        <v>0</v>
      </c>
      <c r="P455" s="420"/>
      <c r="R455" s="420"/>
    </row>
    <row r="456" spans="1:18" s="402" customFormat="1" ht="63" x14ac:dyDescent="0.2">
      <c r="A456" s="414">
        <v>250106</v>
      </c>
      <c r="B456" s="432" t="s">
        <v>991</v>
      </c>
      <c r="C456" s="433" t="s">
        <v>35</v>
      </c>
      <c r="D456" s="433">
        <v>93.72</v>
      </c>
      <c r="E456" s="433">
        <v>99.03</v>
      </c>
      <c r="F456" s="490">
        <f t="shared" ref="F456:F461" si="127">ROUND((E456*D456),2)</f>
        <v>9281.09</v>
      </c>
      <c r="G456" s="483">
        <v>93.72</v>
      </c>
      <c r="H456" s="433">
        <v>9281.0915999999997</v>
      </c>
      <c r="I456" s="435">
        <f t="shared" ref="I456:I461" si="128">IF(F456=0,0,H456/F456)</f>
        <v>1.0000001723935443</v>
      </c>
      <c r="J456" s="433">
        <f t="shared" ref="J456:J461" si="129">D456-G456</f>
        <v>0</v>
      </c>
      <c r="K456" s="433">
        <f t="shared" ref="K456:K461" si="130">ROUND((J456*E456),2)</f>
        <v>0</v>
      </c>
      <c r="L456" s="435">
        <f t="shared" ref="L456:L461" si="131">IF(F456=0,0,K456/F456)</f>
        <v>0</v>
      </c>
      <c r="M456" s="454">
        <f t="shared" si="121"/>
        <v>9281.09</v>
      </c>
      <c r="N456" s="420"/>
      <c r="O456" s="420">
        <f t="shared" si="113"/>
        <v>0</v>
      </c>
      <c r="P456" s="454"/>
      <c r="R456" s="454"/>
    </row>
    <row r="457" spans="1:18" s="402" customFormat="1" ht="47.25" x14ac:dyDescent="0.2">
      <c r="A457" s="414">
        <v>250107</v>
      </c>
      <c r="B457" s="432" t="s">
        <v>442</v>
      </c>
      <c r="C457" s="433" t="s">
        <v>340</v>
      </c>
      <c r="D457" s="433">
        <v>4.54</v>
      </c>
      <c r="E457" s="433">
        <v>786.16</v>
      </c>
      <c r="F457" s="490">
        <f t="shared" si="127"/>
        <v>3569.17</v>
      </c>
      <c r="G457" s="483">
        <v>4.54</v>
      </c>
      <c r="H457" s="433">
        <v>3569.1664000000001</v>
      </c>
      <c r="I457" s="435">
        <f t="shared" si="128"/>
        <v>0.99999899136213743</v>
      </c>
      <c r="J457" s="433">
        <f t="shared" si="129"/>
        <v>0</v>
      </c>
      <c r="K457" s="433">
        <f t="shared" si="130"/>
        <v>0</v>
      </c>
      <c r="L457" s="435">
        <f t="shared" si="131"/>
        <v>0</v>
      </c>
      <c r="M457" s="454">
        <f t="shared" si="121"/>
        <v>3569.17</v>
      </c>
      <c r="N457" s="420"/>
      <c r="O457" s="420">
        <f t="shared" si="113"/>
        <v>0</v>
      </c>
      <c r="P457" s="454"/>
      <c r="R457" s="454"/>
    </row>
    <row r="458" spans="1:18" s="402" customFormat="1" ht="31.5" x14ac:dyDescent="0.2">
      <c r="A458" s="414">
        <v>250108</v>
      </c>
      <c r="B458" s="432" t="s">
        <v>446</v>
      </c>
      <c r="C458" s="433" t="s">
        <v>447</v>
      </c>
      <c r="D458" s="433">
        <v>147</v>
      </c>
      <c r="E458" s="433">
        <v>13.25</v>
      </c>
      <c r="F458" s="490">
        <f t="shared" si="127"/>
        <v>1947.75</v>
      </c>
      <c r="G458" s="483">
        <v>147</v>
      </c>
      <c r="H458" s="433">
        <v>1947.75</v>
      </c>
      <c r="I458" s="435">
        <f t="shared" si="128"/>
        <v>1</v>
      </c>
      <c r="J458" s="433">
        <f t="shared" si="129"/>
        <v>0</v>
      </c>
      <c r="K458" s="433">
        <f t="shared" si="130"/>
        <v>0</v>
      </c>
      <c r="L458" s="435">
        <f t="shared" si="131"/>
        <v>0</v>
      </c>
      <c r="M458" s="454">
        <f t="shared" si="121"/>
        <v>1947.75</v>
      </c>
      <c r="N458" s="420"/>
      <c r="O458" s="420">
        <f t="shared" si="113"/>
        <v>0</v>
      </c>
      <c r="P458" s="454"/>
      <c r="R458" s="454"/>
    </row>
    <row r="459" spans="1:18" s="402" customFormat="1" ht="31.5" x14ac:dyDescent="0.2">
      <c r="A459" s="414">
        <v>250109</v>
      </c>
      <c r="B459" s="432" t="s">
        <v>449</v>
      </c>
      <c r="C459" s="433" t="s">
        <v>447</v>
      </c>
      <c r="D459" s="433">
        <v>148.82</v>
      </c>
      <c r="E459" s="433">
        <v>13.78</v>
      </c>
      <c r="F459" s="490">
        <f t="shared" si="127"/>
        <v>2050.7399999999998</v>
      </c>
      <c r="G459" s="483">
        <v>148.82</v>
      </c>
      <c r="H459" s="433">
        <v>2050.7395999999999</v>
      </c>
      <c r="I459" s="435">
        <f t="shared" si="128"/>
        <v>0.99999980494845764</v>
      </c>
      <c r="J459" s="433">
        <f t="shared" si="129"/>
        <v>0</v>
      </c>
      <c r="K459" s="433">
        <f t="shared" si="130"/>
        <v>0</v>
      </c>
      <c r="L459" s="435">
        <f t="shared" si="131"/>
        <v>0</v>
      </c>
      <c r="M459" s="454">
        <f t="shared" si="121"/>
        <v>2050.7399999999998</v>
      </c>
      <c r="N459" s="420"/>
      <c r="O459" s="420">
        <f t="shared" ref="O459:O522" si="132">K459-N459</f>
        <v>0</v>
      </c>
      <c r="P459" s="454"/>
      <c r="R459" s="454"/>
    </row>
    <row r="460" spans="1:18" s="402" customFormat="1" ht="47.25" x14ac:dyDescent="0.2">
      <c r="A460" s="414">
        <v>250110</v>
      </c>
      <c r="B460" s="432" t="s">
        <v>992</v>
      </c>
      <c r="C460" s="433" t="s">
        <v>447</v>
      </c>
      <c r="D460" s="433">
        <v>2970.86</v>
      </c>
      <c r="E460" s="433">
        <v>14.82</v>
      </c>
      <c r="F460" s="490">
        <f t="shared" si="127"/>
        <v>44028.15</v>
      </c>
      <c r="G460" s="483">
        <v>2970.86</v>
      </c>
      <c r="H460" s="433">
        <v>44028.145200000006</v>
      </c>
      <c r="I460" s="435">
        <f t="shared" si="128"/>
        <v>0.99999989097883979</v>
      </c>
      <c r="J460" s="433">
        <f t="shared" si="129"/>
        <v>0</v>
      </c>
      <c r="K460" s="433">
        <f t="shared" si="130"/>
        <v>0</v>
      </c>
      <c r="L460" s="435">
        <f t="shared" si="131"/>
        <v>0</v>
      </c>
      <c r="M460" s="454">
        <f t="shared" si="121"/>
        <v>44028.15</v>
      </c>
      <c r="N460" s="420"/>
      <c r="O460" s="420">
        <f t="shared" si="132"/>
        <v>0</v>
      </c>
      <c r="P460" s="454"/>
      <c r="R460" s="454"/>
    </row>
    <row r="461" spans="1:18" s="402" customFormat="1" ht="47.25" x14ac:dyDescent="0.2">
      <c r="A461" s="414">
        <v>250111</v>
      </c>
      <c r="B461" s="432" t="s">
        <v>993</v>
      </c>
      <c r="C461" s="433" t="s">
        <v>340</v>
      </c>
      <c r="D461" s="433">
        <v>55.08</v>
      </c>
      <c r="E461" s="433">
        <v>898.84</v>
      </c>
      <c r="F461" s="490">
        <f t="shared" si="127"/>
        <v>49508.11</v>
      </c>
      <c r="G461" s="483">
        <v>55.08</v>
      </c>
      <c r="H461" s="433">
        <v>49508.107199999999</v>
      </c>
      <c r="I461" s="435">
        <f t="shared" si="128"/>
        <v>0.99999994344360954</v>
      </c>
      <c r="J461" s="433">
        <f t="shared" si="129"/>
        <v>0</v>
      </c>
      <c r="K461" s="433">
        <f t="shared" si="130"/>
        <v>0</v>
      </c>
      <c r="L461" s="435">
        <f t="shared" si="131"/>
        <v>0</v>
      </c>
      <c r="M461" s="454">
        <f t="shared" si="121"/>
        <v>49508.11</v>
      </c>
      <c r="N461" s="420"/>
      <c r="O461" s="420">
        <f t="shared" si="132"/>
        <v>0</v>
      </c>
      <c r="P461" s="454"/>
      <c r="R461" s="454"/>
    </row>
    <row r="462" spans="1:18" ht="15.75" x14ac:dyDescent="0.2">
      <c r="A462" s="466"/>
      <c r="B462" s="467" t="s">
        <v>930</v>
      </c>
      <c r="C462" s="468">
        <v>0</v>
      </c>
      <c r="D462" s="424">
        <v>0</v>
      </c>
      <c r="E462" s="424"/>
      <c r="F462" s="427"/>
      <c r="G462" s="440"/>
      <c r="H462" s="437"/>
      <c r="I462" s="431"/>
      <c r="J462" s="430"/>
      <c r="K462" s="425"/>
      <c r="L462" s="429"/>
      <c r="M462" s="454">
        <f t="shared" si="121"/>
        <v>0</v>
      </c>
      <c r="N462" s="420"/>
      <c r="O462" s="420">
        <f t="shared" si="132"/>
        <v>0</v>
      </c>
      <c r="P462" s="420"/>
      <c r="R462" s="420"/>
    </row>
    <row r="463" spans="1:18" s="402" customFormat="1" ht="63" x14ac:dyDescent="0.2">
      <c r="A463" s="414">
        <v>250112</v>
      </c>
      <c r="B463" s="432" t="s">
        <v>994</v>
      </c>
      <c r="C463" s="433" t="s">
        <v>35</v>
      </c>
      <c r="D463" s="433">
        <v>79.48</v>
      </c>
      <c r="E463" s="433">
        <v>157.27000000000001</v>
      </c>
      <c r="F463" s="490">
        <f t="shared" ref="F463:F467" si="133">ROUND((E463*D463),2)</f>
        <v>12499.82</v>
      </c>
      <c r="G463" s="483">
        <v>79.48</v>
      </c>
      <c r="H463" s="433">
        <v>12499.819600000001</v>
      </c>
      <c r="I463" s="435">
        <f>IF(F463=0,0,H463/F463)</f>
        <v>0.99999996799953927</v>
      </c>
      <c r="J463" s="433">
        <f>D463-G463</f>
        <v>0</v>
      </c>
      <c r="K463" s="433">
        <f>ROUND((J463*E463),2)</f>
        <v>0</v>
      </c>
      <c r="L463" s="435">
        <f>IF(F463=0,0,K463/F463)</f>
        <v>0</v>
      </c>
      <c r="M463" s="454">
        <f t="shared" si="121"/>
        <v>12499.82</v>
      </c>
      <c r="N463" s="420"/>
      <c r="O463" s="420">
        <f t="shared" si="132"/>
        <v>0</v>
      </c>
      <c r="P463" s="454"/>
      <c r="R463" s="454"/>
    </row>
    <row r="464" spans="1:18" s="402" customFormat="1" ht="31.5" x14ac:dyDescent="0.2">
      <c r="A464" s="414">
        <v>250113</v>
      </c>
      <c r="B464" s="432" t="s">
        <v>449</v>
      </c>
      <c r="C464" s="433" t="s">
        <v>447</v>
      </c>
      <c r="D464" s="433">
        <v>111.24</v>
      </c>
      <c r="E464" s="433">
        <v>13.25</v>
      </c>
      <c r="F464" s="490">
        <f t="shared" si="133"/>
        <v>1473.93</v>
      </c>
      <c r="G464" s="483">
        <v>111.24</v>
      </c>
      <c r="H464" s="433">
        <v>1473.9299999999998</v>
      </c>
      <c r="I464" s="435">
        <f>IF(F464=0,0,H464/F464)</f>
        <v>0.99999999999999989</v>
      </c>
      <c r="J464" s="433">
        <f>D464-G464</f>
        <v>0</v>
      </c>
      <c r="K464" s="433">
        <f>ROUND((J464*E464),2)</f>
        <v>0</v>
      </c>
      <c r="L464" s="435">
        <f>IF(F464=0,0,K464/F464)</f>
        <v>0</v>
      </c>
      <c r="M464" s="454">
        <f t="shared" si="121"/>
        <v>1473.93</v>
      </c>
      <c r="N464" s="420"/>
      <c r="O464" s="420">
        <f t="shared" si="132"/>
        <v>0</v>
      </c>
      <c r="P464" s="454"/>
      <c r="R464" s="454"/>
    </row>
    <row r="465" spans="1:18" s="402" customFormat="1" ht="31.5" x14ac:dyDescent="0.2">
      <c r="A465" s="414">
        <v>250114</v>
      </c>
      <c r="B465" s="432" t="s">
        <v>446</v>
      </c>
      <c r="C465" s="433" t="s">
        <v>447</v>
      </c>
      <c r="D465" s="433">
        <v>264.22000000000003</v>
      </c>
      <c r="E465" s="433">
        <v>13.78</v>
      </c>
      <c r="F465" s="490">
        <f t="shared" si="133"/>
        <v>3640.95</v>
      </c>
      <c r="G465" s="483">
        <v>264.22000000000003</v>
      </c>
      <c r="H465" s="433">
        <v>3640.9516000000003</v>
      </c>
      <c r="I465" s="435">
        <f>IF(F465=0,0,H465/F465)</f>
        <v>1.0000004394457491</v>
      </c>
      <c r="J465" s="433">
        <f>D465-G465</f>
        <v>0</v>
      </c>
      <c r="K465" s="433">
        <f>ROUND((J465*E465),2)</f>
        <v>0</v>
      </c>
      <c r="L465" s="435">
        <f>IF(F465=0,0,K465/F465)</f>
        <v>0</v>
      </c>
      <c r="M465" s="454">
        <f t="shared" si="121"/>
        <v>3640.95</v>
      </c>
      <c r="N465" s="420"/>
      <c r="O465" s="420">
        <f t="shared" si="132"/>
        <v>0</v>
      </c>
      <c r="P465" s="454"/>
      <c r="R465" s="454"/>
    </row>
    <row r="466" spans="1:18" s="402" customFormat="1" ht="47.25" x14ac:dyDescent="0.2">
      <c r="A466" s="414">
        <v>250115</v>
      </c>
      <c r="B466" s="432" t="s">
        <v>992</v>
      </c>
      <c r="C466" s="433" t="s">
        <v>447</v>
      </c>
      <c r="D466" s="433">
        <v>514.82000000000005</v>
      </c>
      <c r="E466" s="433">
        <v>14.82</v>
      </c>
      <c r="F466" s="490">
        <f t="shared" si="133"/>
        <v>7629.63</v>
      </c>
      <c r="G466" s="483">
        <v>514.82000000000005</v>
      </c>
      <c r="H466" s="433">
        <v>7629.6324000000013</v>
      </c>
      <c r="I466" s="435">
        <f>IF(F466=0,0,H466/F466)</f>
        <v>1.0000003145630916</v>
      </c>
      <c r="J466" s="433">
        <f>D466-G466</f>
        <v>0</v>
      </c>
      <c r="K466" s="433">
        <f>ROUND((J466*E466),2)</f>
        <v>0</v>
      </c>
      <c r="L466" s="435">
        <f>IF(F466=0,0,K466/F466)</f>
        <v>0</v>
      </c>
      <c r="M466" s="454">
        <f t="shared" si="121"/>
        <v>7629.63</v>
      </c>
      <c r="N466" s="420"/>
      <c r="O466" s="420">
        <f t="shared" si="132"/>
        <v>0</v>
      </c>
      <c r="P466" s="454"/>
      <c r="R466" s="454"/>
    </row>
    <row r="467" spans="1:18" s="402" customFormat="1" ht="47.25" x14ac:dyDescent="0.2">
      <c r="A467" s="414">
        <v>250116</v>
      </c>
      <c r="B467" s="432" t="s">
        <v>995</v>
      </c>
      <c r="C467" s="433" t="s">
        <v>340</v>
      </c>
      <c r="D467" s="433">
        <v>7.02</v>
      </c>
      <c r="E467" s="433">
        <v>849.28</v>
      </c>
      <c r="F467" s="490">
        <f t="shared" si="133"/>
        <v>5961.95</v>
      </c>
      <c r="G467" s="483">
        <v>7.02</v>
      </c>
      <c r="H467" s="433">
        <v>5961.9455999999991</v>
      </c>
      <c r="I467" s="435">
        <f>IF(F467=0,0,H467/F467)</f>
        <v>0.99999926198643052</v>
      </c>
      <c r="J467" s="433">
        <f>D467-G467</f>
        <v>0</v>
      </c>
      <c r="K467" s="433">
        <f>ROUND((J467*E467),2)</f>
        <v>0</v>
      </c>
      <c r="L467" s="435">
        <f>IF(F467=0,0,K467/F467)</f>
        <v>0</v>
      </c>
      <c r="M467" s="454">
        <f t="shared" si="121"/>
        <v>5961.95</v>
      </c>
      <c r="N467" s="420"/>
      <c r="O467" s="420">
        <f t="shared" si="132"/>
        <v>0</v>
      </c>
      <c r="P467" s="454"/>
      <c r="R467" s="454"/>
    </row>
    <row r="468" spans="1:18" ht="15.75" x14ac:dyDescent="0.2">
      <c r="A468" s="466"/>
      <c r="B468" s="467" t="s">
        <v>476</v>
      </c>
      <c r="C468" s="468">
        <v>0</v>
      </c>
      <c r="D468" s="424">
        <v>0</v>
      </c>
      <c r="E468" s="424"/>
      <c r="F468" s="427"/>
      <c r="G468" s="440"/>
      <c r="H468" s="437"/>
      <c r="I468" s="431"/>
      <c r="J468" s="430"/>
      <c r="K468" s="425"/>
      <c r="L468" s="429"/>
      <c r="M468" s="454">
        <f t="shared" si="121"/>
        <v>0</v>
      </c>
      <c r="N468" s="420"/>
      <c r="O468" s="420">
        <f t="shared" si="132"/>
        <v>0</v>
      </c>
      <c r="P468" s="420"/>
      <c r="R468" s="420"/>
    </row>
    <row r="469" spans="1:18" ht="15.75" x14ac:dyDescent="0.2">
      <c r="A469" s="466"/>
      <c r="B469" s="467" t="s">
        <v>938</v>
      </c>
      <c r="C469" s="468">
        <v>0</v>
      </c>
      <c r="D469" s="424">
        <v>0</v>
      </c>
      <c r="E469" s="424"/>
      <c r="F469" s="427"/>
      <c r="G469" s="440"/>
      <c r="H469" s="437"/>
      <c r="I469" s="431"/>
      <c r="J469" s="430"/>
      <c r="K469" s="425"/>
      <c r="L469" s="429"/>
      <c r="M469" s="454">
        <f t="shared" si="121"/>
        <v>0</v>
      </c>
      <c r="N469" s="420"/>
      <c r="O469" s="420">
        <f t="shared" si="132"/>
        <v>0</v>
      </c>
      <c r="P469" s="420"/>
      <c r="R469" s="420"/>
    </row>
    <row r="470" spans="1:18" s="402" customFormat="1" ht="31.5" x14ac:dyDescent="0.2">
      <c r="A470" s="414">
        <v>250117</v>
      </c>
      <c r="B470" s="432" t="s">
        <v>486</v>
      </c>
      <c r="C470" s="433" t="s">
        <v>26</v>
      </c>
      <c r="D470" s="433">
        <v>6.4</v>
      </c>
      <c r="E470" s="433">
        <v>11.41</v>
      </c>
      <c r="F470" s="490">
        <f t="shared" ref="F470" si="134">ROUND((E470*D470),2)</f>
        <v>73.02</v>
      </c>
      <c r="G470" s="483">
        <v>6.4</v>
      </c>
      <c r="H470" s="433">
        <v>73.024000000000001</v>
      </c>
      <c r="I470" s="435">
        <f>IF(F470=0,0,H470/F470)</f>
        <v>1.0000547795124624</v>
      </c>
      <c r="J470" s="433">
        <f>D470-G470</f>
        <v>0</v>
      </c>
      <c r="K470" s="433">
        <f>ROUND((J470*E470),2)</f>
        <v>0</v>
      </c>
      <c r="L470" s="435">
        <f>IF(F470=0,0,K470/F470)</f>
        <v>0</v>
      </c>
      <c r="M470" s="454">
        <f t="shared" si="121"/>
        <v>73.02</v>
      </c>
      <c r="N470" s="420"/>
      <c r="O470" s="420">
        <f t="shared" si="132"/>
        <v>0</v>
      </c>
      <c r="P470" s="454"/>
      <c r="R470" s="454"/>
    </row>
    <row r="471" spans="1:18" ht="31.5" x14ac:dyDescent="0.2">
      <c r="A471" s="466"/>
      <c r="B471" s="467" t="s">
        <v>934</v>
      </c>
      <c r="C471" s="468">
        <v>0</v>
      </c>
      <c r="D471" s="424">
        <v>0</v>
      </c>
      <c r="E471" s="424"/>
      <c r="F471" s="427"/>
      <c r="G471" s="440"/>
      <c r="H471" s="437"/>
      <c r="I471" s="431"/>
      <c r="J471" s="430"/>
      <c r="K471" s="425"/>
      <c r="L471" s="429"/>
      <c r="M471" s="454">
        <f t="shared" ref="M471:M534" si="135">F471-K471</f>
        <v>0</v>
      </c>
      <c r="N471" s="420"/>
      <c r="O471" s="420">
        <f t="shared" si="132"/>
        <v>0</v>
      </c>
      <c r="P471" s="420"/>
      <c r="R471" s="420"/>
    </row>
    <row r="472" spans="1:18" s="402" customFormat="1" ht="78.75" x14ac:dyDescent="0.2">
      <c r="A472" s="414">
        <v>250118</v>
      </c>
      <c r="B472" s="432" t="s">
        <v>996</v>
      </c>
      <c r="C472" s="433" t="s">
        <v>35</v>
      </c>
      <c r="D472" s="433">
        <v>117.45</v>
      </c>
      <c r="E472" s="433">
        <v>91.62</v>
      </c>
      <c r="F472" s="490">
        <f t="shared" ref="F472" si="136">ROUND((E472*D472),2)</f>
        <v>10760.77</v>
      </c>
      <c r="G472" s="483">
        <v>117.45</v>
      </c>
      <c r="H472" s="433">
        <v>10760.769</v>
      </c>
      <c r="I472" s="435">
        <f>IF(F472=0,0,H472/F472)</f>
        <v>0.9999999070698472</v>
      </c>
      <c r="J472" s="433">
        <f>D472-G472</f>
        <v>0</v>
      </c>
      <c r="K472" s="433">
        <f>ROUND((J472*E472),2)</f>
        <v>0</v>
      </c>
      <c r="L472" s="435">
        <f>IF(F472=0,0,K472/F472)</f>
        <v>0</v>
      </c>
      <c r="M472" s="454">
        <f t="shared" si="135"/>
        <v>10760.77</v>
      </c>
      <c r="N472" s="420"/>
      <c r="O472" s="420">
        <f t="shared" si="132"/>
        <v>0</v>
      </c>
      <c r="P472" s="454"/>
      <c r="R472" s="454"/>
    </row>
    <row r="473" spans="1:18" ht="15.75" x14ac:dyDescent="0.2">
      <c r="A473" s="466"/>
      <c r="B473" s="467" t="s">
        <v>498</v>
      </c>
      <c r="C473" s="468">
        <v>0</v>
      </c>
      <c r="D473" s="424">
        <v>0</v>
      </c>
      <c r="E473" s="424"/>
      <c r="F473" s="427"/>
      <c r="G473" s="440"/>
      <c r="H473" s="437"/>
      <c r="I473" s="431"/>
      <c r="J473" s="430"/>
      <c r="K473" s="425"/>
      <c r="L473" s="429"/>
      <c r="M473" s="454">
        <f t="shared" si="135"/>
        <v>0</v>
      </c>
      <c r="N473" s="420"/>
      <c r="O473" s="420">
        <f t="shared" si="132"/>
        <v>0</v>
      </c>
      <c r="P473" s="420"/>
      <c r="R473" s="420"/>
    </row>
    <row r="474" spans="1:18" ht="15.75" x14ac:dyDescent="0.2">
      <c r="A474" s="466"/>
      <c r="B474" s="467" t="s">
        <v>997</v>
      </c>
      <c r="C474" s="468">
        <v>0</v>
      </c>
      <c r="D474" s="424">
        <v>0</v>
      </c>
      <c r="E474" s="424"/>
      <c r="F474" s="427"/>
      <c r="G474" s="440"/>
      <c r="H474" s="437"/>
      <c r="I474" s="431"/>
      <c r="J474" s="430"/>
      <c r="K474" s="425"/>
      <c r="L474" s="429"/>
      <c r="M474" s="454">
        <f t="shared" si="135"/>
        <v>0</v>
      </c>
      <c r="N474" s="420"/>
      <c r="O474" s="420">
        <f t="shared" si="132"/>
        <v>0</v>
      </c>
      <c r="P474" s="420"/>
      <c r="R474" s="420"/>
    </row>
    <row r="475" spans="1:18" s="402" customFormat="1" ht="47.25" x14ac:dyDescent="0.2">
      <c r="A475" s="414">
        <v>250119</v>
      </c>
      <c r="B475" s="432" t="s">
        <v>998</v>
      </c>
      <c r="C475" s="433" t="s">
        <v>35</v>
      </c>
      <c r="D475" s="433">
        <v>0.84</v>
      </c>
      <c r="E475" s="433">
        <v>537.42999999999995</v>
      </c>
      <c r="F475" s="490">
        <f t="shared" ref="F475:F478" si="137">ROUND((E475*D475),2)</f>
        <v>451.44</v>
      </c>
      <c r="G475" s="483">
        <v>0.84</v>
      </c>
      <c r="H475" s="433">
        <v>451.44119999999992</v>
      </c>
      <c r="I475" s="435">
        <f>IF(F475=0,0,H475/F475)</f>
        <v>1.0000026581605528</v>
      </c>
      <c r="J475" s="433">
        <f>D475-G475</f>
        <v>0</v>
      </c>
      <c r="K475" s="433">
        <f>ROUND((J475*E475),2)</f>
        <v>0</v>
      </c>
      <c r="L475" s="435">
        <f>IF(F475=0,0,K475/F475)</f>
        <v>0</v>
      </c>
      <c r="M475" s="454">
        <f t="shared" si="135"/>
        <v>451.44</v>
      </c>
      <c r="N475" s="420"/>
      <c r="O475" s="420">
        <f t="shared" si="132"/>
        <v>0</v>
      </c>
      <c r="P475" s="454"/>
      <c r="R475" s="454"/>
    </row>
    <row r="476" spans="1:18" s="402" customFormat="1" ht="47.25" x14ac:dyDescent="0.2">
      <c r="A476" s="414">
        <v>250120</v>
      </c>
      <c r="B476" s="432" t="s">
        <v>999</v>
      </c>
      <c r="C476" s="433" t="s">
        <v>35</v>
      </c>
      <c r="D476" s="433">
        <v>2.52</v>
      </c>
      <c r="E476" s="433">
        <v>1107.8499999999999</v>
      </c>
      <c r="F476" s="490">
        <f t="shared" si="137"/>
        <v>2791.78</v>
      </c>
      <c r="G476" s="483">
        <v>2.52</v>
      </c>
      <c r="H476" s="433">
        <v>2791.7819999999997</v>
      </c>
      <c r="I476" s="435">
        <f>IF(F476=0,0,H476/F476)</f>
        <v>1.0000007163888269</v>
      </c>
      <c r="J476" s="433">
        <f>D476-G476</f>
        <v>0</v>
      </c>
      <c r="K476" s="433">
        <f>ROUND((J476*E476),2)</f>
        <v>0</v>
      </c>
      <c r="L476" s="435">
        <f>IF(F476=0,0,K476/F476)</f>
        <v>0</v>
      </c>
      <c r="M476" s="454">
        <f t="shared" si="135"/>
        <v>2791.78</v>
      </c>
      <c r="N476" s="420"/>
      <c r="O476" s="420">
        <f t="shared" si="132"/>
        <v>0</v>
      </c>
      <c r="P476" s="454"/>
      <c r="R476" s="454"/>
    </row>
    <row r="477" spans="1:18" s="402" customFormat="1" ht="63" x14ac:dyDescent="0.2">
      <c r="A477" s="414">
        <v>250121</v>
      </c>
      <c r="B477" s="432" t="s">
        <v>1000</v>
      </c>
      <c r="C477" s="433" t="s">
        <v>35</v>
      </c>
      <c r="D477" s="433">
        <v>3.36</v>
      </c>
      <c r="E477" s="433">
        <v>411.74</v>
      </c>
      <c r="F477" s="490">
        <f t="shared" si="137"/>
        <v>1383.45</v>
      </c>
      <c r="G477" s="483">
        <v>3.36</v>
      </c>
      <c r="H477" s="433">
        <v>1383.4464</v>
      </c>
      <c r="I477" s="435">
        <f>IF(F477=0,0,H477/F477)</f>
        <v>0.99999739780982322</v>
      </c>
      <c r="J477" s="433">
        <f>D477-G477</f>
        <v>0</v>
      </c>
      <c r="K477" s="433">
        <f>ROUND((J477*E477),2)</f>
        <v>0</v>
      </c>
      <c r="L477" s="435">
        <f>IF(F477=0,0,K477/F477)</f>
        <v>0</v>
      </c>
      <c r="M477" s="454">
        <f t="shared" si="135"/>
        <v>1383.45</v>
      </c>
      <c r="N477" s="420"/>
      <c r="O477" s="420">
        <f t="shared" si="132"/>
        <v>0</v>
      </c>
      <c r="P477" s="454"/>
      <c r="R477" s="454"/>
    </row>
    <row r="478" spans="1:18" s="402" customFormat="1" ht="63" x14ac:dyDescent="0.2">
      <c r="A478" s="414">
        <v>250122</v>
      </c>
      <c r="B478" s="432" t="s">
        <v>1001</v>
      </c>
      <c r="C478" s="433" t="s">
        <v>35</v>
      </c>
      <c r="D478" s="433">
        <v>4.0999999999999996</v>
      </c>
      <c r="E478" s="433">
        <v>571.52</v>
      </c>
      <c r="F478" s="490">
        <f t="shared" si="137"/>
        <v>2343.23</v>
      </c>
      <c r="G478" s="483">
        <v>4.0999999999999996</v>
      </c>
      <c r="H478" s="433">
        <v>2343.2319999999995</v>
      </c>
      <c r="I478" s="435">
        <f>IF(F478=0,0,H478/F478)</f>
        <v>1.0000008535227014</v>
      </c>
      <c r="J478" s="433">
        <f>D478-G478</f>
        <v>0</v>
      </c>
      <c r="K478" s="433">
        <f>ROUND((J478*E478),2)</f>
        <v>0</v>
      </c>
      <c r="L478" s="435">
        <f>IF(F478=0,0,K478/F478)</f>
        <v>0</v>
      </c>
      <c r="M478" s="454">
        <f t="shared" si="135"/>
        <v>2343.23</v>
      </c>
      <c r="N478" s="420"/>
      <c r="O478" s="420">
        <f t="shared" si="132"/>
        <v>0</v>
      </c>
      <c r="P478" s="454"/>
      <c r="R478" s="454"/>
    </row>
    <row r="479" spans="1:18" ht="15.75" x14ac:dyDescent="0.2">
      <c r="A479" s="466"/>
      <c r="B479" s="467" t="s">
        <v>1002</v>
      </c>
      <c r="C479" s="468">
        <v>0</v>
      </c>
      <c r="D479" s="424">
        <v>0</v>
      </c>
      <c r="E479" s="424"/>
      <c r="F479" s="427"/>
      <c r="G479" s="440"/>
      <c r="H479" s="437"/>
      <c r="I479" s="431"/>
      <c r="J479" s="430"/>
      <c r="K479" s="425"/>
      <c r="L479" s="429"/>
      <c r="M479" s="454">
        <f t="shared" si="135"/>
        <v>0</v>
      </c>
      <c r="N479" s="420"/>
      <c r="O479" s="420">
        <f t="shared" si="132"/>
        <v>0</v>
      </c>
      <c r="P479" s="420"/>
      <c r="R479" s="420"/>
    </row>
    <row r="480" spans="1:18" s="402" customFormat="1" ht="47.25" x14ac:dyDescent="0.2">
      <c r="A480" s="414">
        <v>250123</v>
      </c>
      <c r="B480" s="432" t="s">
        <v>1107</v>
      </c>
      <c r="C480" s="433" t="s">
        <v>23</v>
      </c>
      <c r="D480" s="433">
        <v>2</v>
      </c>
      <c r="E480" s="433">
        <v>1974.94</v>
      </c>
      <c r="F480" s="490">
        <f t="shared" ref="F480" si="138">ROUND((E480*D480),2)</f>
        <v>3949.88</v>
      </c>
      <c r="G480" s="483">
        <v>2</v>
      </c>
      <c r="H480" s="433">
        <v>3949.88</v>
      </c>
      <c r="I480" s="435">
        <f>IF(F480=0,0,H480/F480)</f>
        <v>1</v>
      </c>
      <c r="J480" s="433">
        <f>D480-G480</f>
        <v>0</v>
      </c>
      <c r="K480" s="433">
        <f>ROUND((J480*E480),2)</f>
        <v>0</v>
      </c>
      <c r="L480" s="435">
        <f>IF(F480=0,0,K480/F480)</f>
        <v>0</v>
      </c>
      <c r="M480" s="454">
        <f t="shared" si="135"/>
        <v>3949.88</v>
      </c>
      <c r="N480" s="420"/>
      <c r="O480" s="420">
        <f t="shared" si="132"/>
        <v>0</v>
      </c>
      <c r="P480" s="454"/>
      <c r="R480" s="454"/>
    </row>
    <row r="481" spans="1:18" ht="15.75" x14ac:dyDescent="0.2">
      <c r="A481" s="466"/>
      <c r="B481" s="467" t="s">
        <v>518</v>
      </c>
      <c r="C481" s="468">
        <v>0</v>
      </c>
      <c r="D481" s="424">
        <v>0</v>
      </c>
      <c r="E481" s="424"/>
      <c r="F481" s="427"/>
      <c r="G481" s="440"/>
      <c r="H481" s="437"/>
      <c r="I481" s="431"/>
      <c r="J481" s="430"/>
      <c r="K481" s="425"/>
      <c r="L481" s="429"/>
      <c r="M481" s="454">
        <f t="shared" si="135"/>
        <v>0</v>
      </c>
      <c r="N481" s="420"/>
      <c r="O481" s="420">
        <f t="shared" si="132"/>
        <v>0</v>
      </c>
      <c r="P481" s="420"/>
      <c r="R481" s="420"/>
    </row>
    <row r="482" spans="1:18" ht="15.75" x14ac:dyDescent="0.2">
      <c r="A482" s="466"/>
      <c r="B482" s="467" t="s">
        <v>1003</v>
      </c>
      <c r="C482" s="468">
        <v>0</v>
      </c>
      <c r="D482" s="424">
        <v>0</v>
      </c>
      <c r="E482" s="424"/>
      <c r="F482" s="427"/>
      <c r="G482" s="440"/>
      <c r="H482" s="437"/>
      <c r="I482" s="431"/>
      <c r="J482" s="430"/>
      <c r="K482" s="425"/>
      <c r="L482" s="429"/>
      <c r="M482" s="454">
        <f t="shared" si="135"/>
        <v>0</v>
      </c>
      <c r="N482" s="420"/>
      <c r="O482" s="420">
        <f t="shared" si="132"/>
        <v>0</v>
      </c>
      <c r="P482" s="420"/>
      <c r="R482" s="420"/>
    </row>
    <row r="483" spans="1:18" s="402" customFormat="1" ht="31.5" x14ac:dyDescent="0.2">
      <c r="A483" s="414">
        <v>250124</v>
      </c>
      <c r="B483" s="432" t="s">
        <v>1004</v>
      </c>
      <c r="C483" s="433" t="s">
        <v>35</v>
      </c>
      <c r="D483" s="433">
        <v>1.86</v>
      </c>
      <c r="E483" s="433">
        <v>1148.97</v>
      </c>
      <c r="F483" s="490">
        <f t="shared" ref="F483:F485" si="139">ROUND((E483*D483),2)</f>
        <v>2137.08</v>
      </c>
      <c r="G483" s="483">
        <v>1.86</v>
      </c>
      <c r="H483" s="433">
        <v>2137.0842000000002</v>
      </c>
      <c r="I483" s="435">
        <f>IF(F483=0,0,H483/F483)</f>
        <v>1.0000019652984447</v>
      </c>
      <c r="J483" s="433">
        <f>D483-G483</f>
        <v>0</v>
      </c>
      <c r="K483" s="433">
        <f>ROUND((J483*E483),2)</f>
        <v>0</v>
      </c>
      <c r="L483" s="435">
        <f>IF(F483=0,0,K483/F483)</f>
        <v>0</v>
      </c>
      <c r="M483" s="454">
        <f t="shared" si="135"/>
        <v>2137.08</v>
      </c>
      <c r="N483" s="420"/>
      <c r="O483" s="420">
        <f t="shared" si="132"/>
        <v>0</v>
      </c>
      <c r="P483" s="454"/>
      <c r="R483" s="454"/>
    </row>
    <row r="484" spans="1:18" s="402" customFormat="1" ht="63" x14ac:dyDescent="0.2">
      <c r="A484" s="414">
        <v>250125</v>
      </c>
      <c r="B484" s="432" t="s">
        <v>1005</v>
      </c>
      <c r="C484" s="433" t="s">
        <v>35</v>
      </c>
      <c r="D484" s="433">
        <v>33.549999999999997</v>
      </c>
      <c r="E484" s="433">
        <v>1977.09</v>
      </c>
      <c r="F484" s="490">
        <f t="shared" si="139"/>
        <v>66331.37</v>
      </c>
      <c r="G484" s="483">
        <v>33.549999999999997</v>
      </c>
      <c r="H484" s="433">
        <v>66331.369500000001</v>
      </c>
      <c r="I484" s="435">
        <f>IF(F484=0,0,H484/F484)</f>
        <v>0.99999999246208848</v>
      </c>
      <c r="J484" s="433">
        <f>D484-G484</f>
        <v>0</v>
      </c>
      <c r="K484" s="433">
        <f>ROUND((J484*E484),2)</f>
        <v>0</v>
      </c>
      <c r="L484" s="435">
        <f>IF(F484=0,0,K484/F484)</f>
        <v>0</v>
      </c>
      <c r="M484" s="454">
        <f t="shared" si="135"/>
        <v>66331.37</v>
      </c>
      <c r="N484" s="420"/>
      <c r="O484" s="420">
        <f t="shared" si="132"/>
        <v>0</v>
      </c>
      <c r="P484" s="454"/>
      <c r="R484" s="454"/>
    </row>
    <row r="485" spans="1:18" s="402" customFormat="1" ht="97.5" customHeight="1" x14ac:dyDescent="0.2">
      <c r="A485" s="414">
        <v>250126</v>
      </c>
      <c r="B485" s="432" t="s">
        <v>1006</v>
      </c>
      <c r="C485" s="433" t="s">
        <v>35</v>
      </c>
      <c r="D485" s="433">
        <v>20.34</v>
      </c>
      <c r="E485" s="433">
        <v>1977.09</v>
      </c>
      <c r="F485" s="490">
        <f t="shared" si="139"/>
        <v>40214.01</v>
      </c>
      <c r="G485" s="483">
        <v>0</v>
      </c>
      <c r="H485" s="433">
        <v>0</v>
      </c>
      <c r="I485" s="435">
        <f>IF(F485=0,0,H485/F485)</f>
        <v>0</v>
      </c>
      <c r="J485" s="433">
        <f>D485-G485</f>
        <v>20.34</v>
      </c>
      <c r="K485" s="433">
        <f>ROUND((J485*E485),2)</f>
        <v>40214.01</v>
      </c>
      <c r="L485" s="435">
        <f>IF(F485=0,0,K485/F485)</f>
        <v>1</v>
      </c>
      <c r="M485" s="454">
        <f t="shared" si="135"/>
        <v>0</v>
      </c>
      <c r="N485" s="420"/>
      <c r="O485" s="420">
        <f t="shared" si="132"/>
        <v>40214.01</v>
      </c>
      <c r="P485" s="454"/>
      <c r="R485" s="454"/>
    </row>
    <row r="486" spans="1:18" ht="15.75" x14ac:dyDescent="0.2">
      <c r="A486" s="466"/>
      <c r="B486" s="467" t="s">
        <v>1007</v>
      </c>
      <c r="C486" s="468">
        <v>0</v>
      </c>
      <c r="D486" s="424">
        <v>0</v>
      </c>
      <c r="E486" s="424"/>
      <c r="F486" s="427"/>
      <c r="G486" s="440"/>
      <c r="H486" s="437"/>
      <c r="I486" s="431"/>
      <c r="J486" s="430"/>
      <c r="K486" s="425"/>
      <c r="L486" s="429"/>
      <c r="M486" s="454">
        <f t="shared" si="135"/>
        <v>0</v>
      </c>
      <c r="N486" s="420"/>
      <c r="O486" s="420">
        <f t="shared" si="132"/>
        <v>0</v>
      </c>
      <c r="P486" s="420"/>
      <c r="R486" s="420"/>
    </row>
    <row r="487" spans="1:18" s="402" customFormat="1" ht="15.75" x14ac:dyDescent="0.2">
      <c r="A487" s="414">
        <v>250127</v>
      </c>
      <c r="B487" s="432" t="s">
        <v>526</v>
      </c>
      <c r="C487" s="433" t="s">
        <v>35</v>
      </c>
      <c r="D487" s="433">
        <v>1.2</v>
      </c>
      <c r="E487" s="433">
        <v>518.42999999999995</v>
      </c>
      <c r="F487" s="490">
        <f t="shared" ref="F487" si="140">ROUND((E487*D487),2)</f>
        <v>622.12</v>
      </c>
      <c r="G487" s="483">
        <v>1.2</v>
      </c>
      <c r="H487" s="433">
        <v>622.11599999999987</v>
      </c>
      <c r="I487" s="435">
        <f>IF(F487=0,0,H487/F487)</f>
        <v>0.99999357037227521</v>
      </c>
      <c r="J487" s="433">
        <f>D487-G487</f>
        <v>0</v>
      </c>
      <c r="K487" s="433">
        <f>ROUND((J487*E487),2)</f>
        <v>0</v>
      </c>
      <c r="L487" s="435">
        <f>IF(F487=0,0,K487/F487)</f>
        <v>0</v>
      </c>
      <c r="M487" s="454">
        <f t="shared" si="135"/>
        <v>622.12</v>
      </c>
      <c r="N487" s="420"/>
      <c r="O487" s="420">
        <f t="shared" si="132"/>
        <v>0</v>
      </c>
      <c r="P487" s="454"/>
      <c r="R487" s="454"/>
    </row>
    <row r="488" spans="1:18" ht="15.75" x14ac:dyDescent="0.2">
      <c r="A488" s="466"/>
      <c r="B488" s="467" t="s">
        <v>528</v>
      </c>
      <c r="C488" s="468">
        <v>0</v>
      </c>
      <c r="D488" s="424">
        <v>0</v>
      </c>
      <c r="E488" s="424"/>
      <c r="F488" s="427"/>
      <c r="G488" s="440"/>
      <c r="H488" s="437"/>
      <c r="I488" s="431"/>
      <c r="J488" s="430"/>
      <c r="K488" s="425"/>
      <c r="L488" s="429"/>
      <c r="M488" s="454">
        <f t="shared" si="135"/>
        <v>0</v>
      </c>
      <c r="N488" s="420"/>
      <c r="O488" s="420">
        <f t="shared" si="132"/>
        <v>0</v>
      </c>
      <c r="P488" s="420"/>
      <c r="R488" s="420"/>
    </row>
    <row r="489" spans="1:18" ht="15.75" x14ac:dyDescent="0.2">
      <c r="A489" s="466"/>
      <c r="B489" s="467" t="s">
        <v>1008</v>
      </c>
      <c r="C489" s="468">
        <v>0</v>
      </c>
      <c r="D489" s="424">
        <v>0</v>
      </c>
      <c r="E489" s="424"/>
      <c r="F489" s="427"/>
      <c r="G489" s="440"/>
      <c r="H489" s="437"/>
      <c r="I489" s="431"/>
      <c r="J489" s="430"/>
      <c r="K489" s="425"/>
      <c r="L489" s="429"/>
      <c r="M489" s="454">
        <f t="shared" si="135"/>
        <v>0</v>
      </c>
      <c r="N489" s="420"/>
      <c r="O489" s="420">
        <f t="shared" si="132"/>
        <v>0</v>
      </c>
      <c r="P489" s="420"/>
      <c r="R489" s="420"/>
    </row>
    <row r="490" spans="1:18" s="402" customFormat="1" ht="47.25" x14ac:dyDescent="0.2">
      <c r="A490" s="414">
        <v>250128</v>
      </c>
      <c r="B490" s="432" t="s">
        <v>1009</v>
      </c>
      <c r="C490" s="433" t="s">
        <v>947</v>
      </c>
      <c r="D490" s="433">
        <v>9373.0400000000009</v>
      </c>
      <c r="E490" s="433">
        <v>42.41</v>
      </c>
      <c r="F490" s="490">
        <f t="shared" ref="F490" si="141">ROUND((E490*D490),2)</f>
        <v>397510.63</v>
      </c>
      <c r="G490" s="483">
        <v>7767.9000000000005</v>
      </c>
      <c r="H490" s="433">
        <v>329436.63899999997</v>
      </c>
      <c r="I490" s="435">
        <f>IF(F490=0,0,H490/F490)</f>
        <v>0.82874925634064167</v>
      </c>
      <c r="J490" s="433">
        <f>D490-G490</f>
        <v>1605.1400000000003</v>
      </c>
      <c r="K490" s="433">
        <f>F490-H490</f>
        <v>68073.991000000038</v>
      </c>
      <c r="L490" s="435">
        <f>IF(F490=0,0,K490/F490)</f>
        <v>0.17125074365935833</v>
      </c>
      <c r="M490" s="454">
        <f t="shared" si="135"/>
        <v>329436.63899999997</v>
      </c>
      <c r="N490" s="420">
        <f>K490</f>
        <v>68073.991000000038</v>
      </c>
      <c r="O490" s="420">
        <f>22500/E490</f>
        <v>530.53525112001887</v>
      </c>
      <c r="P490" s="454"/>
      <c r="R490" s="454"/>
    </row>
    <row r="491" spans="1:18" ht="15.75" x14ac:dyDescent="0.2">
      <c r="A491" s="466"/>
      <c r="B491" s="467" t="s">
        <v>1010</v>
      </c>
      <c r="C491" s="468">
        <v>0</v>
      </c>
      <c r="D491" s="424">
        <v>0</v>
      </c>
      <c r="E491" s="424"/>
      <c r="F491" s="427"/>
      <c r="G491" s="440"/>
      <c r="H491" s="437"/>
      <c r="I491" s="431"/>
      <c r="J491" s="430"/>
      <c r="K491" s="425"/>
      <c r="L491" s="429"/>
      <c r="M491" s="454">
        <f t="shared" si="135"/>
        <v>0</v>
      </c>
      <c r="N491" s="420"/>
      <c r="O491" s="420">
        <f t="shared" si="132"/>
        <v>0</v>
      </c>
      <c r="P491" s="420"/>
      <c r="R491" s="420"/>
    </row>
    <row r="492" spans="1:18" s="402" customFormat="1" ht="78.75" x14ac:dyDescent="0.2">
      <c r="A492" s="414">
        <v>250129</v>
      </c>
      <c r="B492" s="432" t="s">
        <v>1011</v>
      </c>
      <c r="C492" s="433" t="s">
        <v>35</v>
      </c>
      <c r="D492" s="433">
        <v>146.09</v>
      </c>
      <c r="E492" s="433">
        <v>337.49</v>
      </c>
      <c r="F492" s="490">
        <f t="shared" ref="F492" si="142">ROUND((E492*D492),2)</f>
        <v>49303.91</v>
      </c>
      <c r="G492" s="483">
        <v>146.09</v>
      </c>
      <c r="H492" s="433">
        <v>49303.914100000002</v>
      </c>
      <c r="I492" s="435">
        <f>IF(F492=0,0,H492/F492)</f>
        <v>1.0000000831577049</v>
      </c>
      <c r="J492" s="433">
        <f>D492-G492</f>
        <v>0</v>
      </c>
      <c r="K492" s="433">
        <f>ROUND((J492*E492),2)</f>
        <v>0</v>
      </c>
      <c r="L492" s="435">
        <f>IF(F492=0,0,K492/F492)</f>
        <v>0</v>
      </c>
      <c r="M492" s="454">
        <f t="shared" si="135"/>
        <v>49303.91</v>
      </c>
      <c r="N492" s="420"/>
      <c r="O492" s="420">
        <f t="shared" si="132"/>
        <v>0</v>
      </c>
      <c r="P492" s="454"/>
      <c r="R492" s="454"/>
    </row>
    <row r="493" spans="1:18" ht="15.75" x14ac:dyDescent="0.2">
      <c r="A493" s="466"/>
      <c r="B493" s="467" t="s">
        <v>1012</v>
      </c>
      <c r="C493" s="468">
        <v>0</v>
      </c>
      <c r="D493" s="424">
        <v>0</v>
      </c>
      <c r="E493" s="424"/>
      <c r="F493" s="427"/>
      <c r="G493" s="440"/>
      <c r="H493" s="437"/>
      <c r="I493" s="431"/>
      <c r="J493" s="430"/>
      <c r="K493" s="425"/>
      <c r="L493" s="429"/>
      <c r="M493" s="454">
        <f t="shared" si="135"/>
        <v>0</v>
      </c>
      <c r="N493" s="420"/>
      <c r="O493" s="420">
        <f t="shared" si="132"/>
        <v>0</v>
      </c>
      <c r="P493" s="420"/>
      <c r="R493" s="420"/>
    </row>
    <row r="494" spans="1:18" s="402" customFormat="1" ht="15.75" x14ac:dyDescent="0.2">
      <c r="A494" s="414">
        <v>250130</v>
      </c>
      <c r="B494" s="432" t="s">
        <v>863</v>
      </c>
      <c r="C494" s="433" t="s">
        <v>26</v>
      </c>
      <c r="D494" s="433">
        <v>47.28</v>
      </c>
      <c r="E494" s="433">
        <v>69.11</v>
      </c>
      <c r="F494" s="490">
        <f t="shared" ref="F494:F495" si="143">ROUND((E494*D494),2)</f>
        <v>3267.52</v>
      </c>
      <c r="G494" s="483">
        <v>47.28</v>
      </c>
      <c r="H494" s="433">
        <v>3267.5208000000002</v>
      </c>
      <c r="I494" s="435">
        <f>IF(F494=0,0,H494/F494)</f>
        <v>1.0000002448340026</v>
      </c>
      <c r="J494" s="433">
        <f>D494-G494</f>
        <v>0</v>
      </c>
      <c r="K494" s="433">
        <f>ROUND((J494*E494),2)</f>
        <v>0</v>
      </c>
      <c r="L494" s="435">
        <f>IF(F494=0,0,K494/F494)</f>
        <v>0</v>
      </c>
      <c r="M494" s="454">
        <f t="shared" si="135"/>
        <v>3267.52</v>
      </c>
      <c r="N494" s="420"/>
      <c r="O494" s="420">
        <f t="shared" si="132"/>
        <v>0</v>
      </c>
      <c r="P494" s="454"/>
      <c r="R494" s="454"/>
    </row>
    <row r="495" spans="1:18" s="402" customFormat="1" ht="15.75" x14ac:dyDescent="0.2">
      <c r="A495" s="414">
        <v>250131</v>
      </c>
      <c r="B495" s="432" t="s">
        <v>1013</v>
      </c>
      <c r="C495" s="433" t="s">
        <v>26</v>
      </c>
      <c r="D495" s="433">
        <v>28.04</v>
      </c>
      <c r="E495" s="433">
        <v>169.38</v>
      </c>
      <c r="F495" s="490">
        <f t="shared" si="143"/>
        <v>4749.42</v>
      </c>
      <c r="G495" s="483">
        <v>28.04</v>
      </c>
      <c r="H495" s="433">
        <v>4749.4151999999995</v>
      </c>
      <c r="I495" s="435">
        <f>IF(F495=0,0,H495/F495)</f>
        <v>0.99999898935027842</v>
      </c>
      <c r="J495" s="433">
        <f>D495-G495</f>
        <v>0</v>
      </c>
      <c r="K495" s="433">
        <f>ROUND((J495*E495),2)</f>
        <v>0</v>
      </c>
      <c r="L495" s="435">
        <f>IF(F495=0,0,K495/F495)</f>
        <v>0</v>
      </c>
      <c r="M495" s="454">
        <f t="shared" si="135"/>
        <v>4749.42</v>
      </c>
      <c r="N495" s="420"/>
      <c r="O495" s="420">
        <f t="shared" si="132"/>
        <v>0</v>
      </c>
      <c r="P495" s="454"/>
      <c r="R495" s="454"/>
    </row>
    <row r="496" spans="1:18" ht="15.75" x14ac:dyDescent="0.2">
      <c r="A496" s="466"/>
      <c r="B496" s="467" t="s">
        <v>542</v>
      </c>
      <c r="C496" s="468">
        <v>0</v>
      </c>
      <c r="D496" s="424">
        <v>0</v>
      </c>
      <c r="E496" s="424"/>
      <c r="F496" s="427"/>
      <c r="G496" s="440"/>
      <c r="H496" s="437"/>
      <c r="I496" s="431"/>
      <c r="J496" s="430"/>
      <c r="K496" s="425"/>
      <c r="L496" s="429"/>
      <c r="M496" s="454">
        <f t="shared" si="135"/>
        <v>0</v>
      </c>
      <c r="N496" s="420"/>
      <c r="O496" s="420">
        <f t="shared" si="132"/>
        <v>0</v>
      </c>
      <c r="P496" s="420"/>
      <c r="R496" s="420"/>
    </row>
    <row r="497" spans="1:18" s="402" customFormat="1" ht="63" x14ac:dyDescent="0.2">
      <c r="A497" s="414">
        <v>250132</v>
      </c>
      <c r="B497" s="432" t="s">
        <v>543</v>
      </c>
      <c r="C497" s="433" t="s">
        <v>35</v>
      </c>
      <c r="D497" s="433">
        <v>21.66</v>
      </c>
      <c r="E497" s="433">
        <v>346.72</v>
      </c>
      <c r="F497" s="490">
        <f t="shared" ref="F497" si="144">ROUND((E497*D497),2)</f>
        <v>7509.96</v>
      </c>
      <c r="G497" s="483">
        <v>21.66</v>
      </c>
      <c r="H497" s="433">
        <v>7509.9552000000003</v>
      </c>
      <c r="I497" s="435">
        <f>IF(F497=0,0,H497/F497)</f>
        <v>0.99999936084879282</v>
      </c>
      <c r="J497" s="433">
        <f>D497-G497</f>
        <v>0</v>
      </c>
      <c r="K497" s="433">
        <f>ROUND((J497*E497),2)</f>
        <v>0</v>
      </c>
      <c r="L497" s="435">
        <f>IF(F497=0,0,K497/F497)</f>
        <v>0</v>
      </c>
      <c r="M497" s="454">
        <f t="shared" si="135"/>
        <v>7509.96</v>
      </c>
      <c r="N497" s="420"/>
      <c r="O497" s="420">
        <f t="shared" si="132"/>
        <v>0</v>
      </c>
      <c r="P497" s="454"/>
      <c r="R497" s="454"/>
    </row>
    <row r="498" spans="1:18" ht="15.75" x14ac:dyDescent="0.2">
      <c r="A498" s="466"/>
      <c r="B498" s="467" t="s">
        <v>547</v>
      </c>
      <c r="C498" s="468">
        <v>0</v>
      </c>
      <c r="D498" s="424">
        <v>0</v>
      </c>
      <c r="E498" s="424"/>
      <c r="F498" s="427"/>
      <c r="G498" s="440"/>
      <c r="H498" s="437"/>
      <c r="I498" s="431"/>
      <c r="J498" s="430"/>
      <c r="K498" s="425"/>
      <c r="L498" s="429"/>
      <c r="M498" s="454">
        <f t="shared" si="135"/>
        <v>0</v>
      </c>
      <c r="N498" s="420"/>
      <c r="O498" s="420">
        <f t="shared" si="132"/>
        <v>0</v>
      </c>
      <c r="P498" s="420"/>
      <c r="R498" s="420"/>
    </row>
    <row r="499" spans="1:18" ht="15.75" x14ac:dyDescent="0.2">
      <c r="A499" s="466"/>
      <c r="B499" s="467" t="s">
        <v>1014</v>
      </c>
      <c r="C499" s="468">
        <v>0</v>
      </c>
      <c r="D499" s="424">
        <v>0</v>
      </c>
      <c r="E499" s="424"/>
      <c r="F499" s="427"/>
      <c r="G499" s="440"/>
      <c r="H499" s="437"/>
      <c r="I499" s="431"/>
      <c r="J499" s="430"/>
      <c r="K499" s="425"/>
      <c r="L499" s="429"/>
      <c r="M499" s="454">
        <f t="shared" si="135"/>
        <v>0</v>
      </c>
      <c r="N499" s="420"/>
      <c r="O499" s="420">
        <f t="shared" si="132"/>
        <v>0</v>
      </c>
      <c r="P499" s="420"/>
      <c r="R499" s="420"/>
    </row>
    <row r="500" spans="1:18" s="402" customFormat="1" ht="21.75" customHeight="1" x14ac:dyDescent="0.2">
      <c r="A500" s="414">
        <v>250133</v>
      </c>
      <c r="B500" s="432" t="s">
        <v>553</v>
      </c>
      <c r="C500" s="433" t="s">
        <v>35</v>
      </c>
      <c r="D500" s="433">
        <v>16.260000000000002</v>
      </c>
      <c r="E500" s="433">
        <v>61.84</v>
      </c>
      <c r="F500" s="490">
        <f t="shared" ref="F500:F501" si="145">ROUND((E500*D500),2)</f>
        <v>1005.52</v>
      </c>
      <c r="G500" s="483">
        <v>16.260000000000002</v>
      </c>
      <c r="H500" s="433">
        <v>1005.5184000000002</v>
      </c>
      <c r="I500" s="435">
        <f>IF(F500=0,0,H500/F500)</f>
        <v>0.9999984087835152</v>
      </c>
      <c r="J500" s="433">
        <f>D500-G500</f>
        <v>0</v>
      </c>
      <c r="K500" s="433">
        <f>ROUND((J500*E500),2)</f>
        <v>0</v>
      </c>
      <c r="L500" s="435">
        <f>IF(F500=0,0,K500/F500)</f>
        <v>0</v>
      </c>
      <c r="M500" s="454">
        <f t="shared" si="135"/>
        <v>1005.52</v>
      </c>
      <c r="N500" s="420"/>
      <c r="O500" s="420">
        <f t="shared" si="132"/>
        <v>0</v>
      </c>
      <c r="P500" s="454"/>
      <c r="R500" s="454"/>
    </row>
    <row r="501" spans="1:18" s="402" customFormat="1" ht="47.25" x14ac:dyDescent="0.2">
      <c r="A501" s="414">
        <v>250134</v>
      </c>
      <c r="B501" s="432" t="s">
        <v>1015</v>
      </c>
      <c r="C501" s="433" t="s">
        <v>35</v>
      </c>
      <c r="D501" s="433">
        <v>96.16</v>
      </c>
      <c r="E501" s="433">
        <v>104.46</v>
      </c>
      <c r="F501" s="490">
        <f t="shared" si="145"/>
        <v>10044.870000000001</v>
      </c>
      <c r="G501" s="483">
        <v>96.16</v>
      </c>
      <c r="H501" s="433">
        <v>10044.873599999999</v>
      </c>
      <c r="I501" s="435">
        <f>IF(F501=0,0,H501/F501)</f>
        <v>1.0000003583918955</v>
      </c>
      <c r="J501" s="433">
        <f>D501-G501</f>
        <v>0</v>
      </c>
      <c r="K501" s="433">
        <f>ROUND((J501*E501),2)</f>
        <v>0</v>
      </c>
      <c r="L501" s="435">
        <f>IF(F501=0,0,K501/F501)</f>
        <v>0</v>
      </c>
      <c r="M501" s="454">
        <f t="shared" si="135"/>
        <v>10044.870000000001</v>
      </c>
      <c r="N501" s="420"/>
      <c r="O501" s="420">
        <f t="shared" si="132"/>
        <v>0</v>
      </c>
      <c r="P501" s="454"/>
      <c r="R501" s="454"/>
    </row>
    <row r="502" spans="1:18" ht="15.75" x14ac:dyDescent="0.2">
      <c r="A502" s="466"/>
      <c r="B502" s="467" t="s">
        <v>561</v>
      </c>
      <c r="C502" s="468">
        <v>0</v>
      </c>
      <c r="D502" s="424">
        <v>0</v>
      </c>
      <c r="E502" s="424"/>
      <c r="F502" s="427"/>
      <c r="G502" s="440"/>
      <c r="H502" s="437"/>
      <c r="I502" s="431"/>
      <c r="J502" s="430"/>
      <c r="K502" s="425"/>
      <c r="L502" s="429"/>
      <c r="M502" s="454">
        <f t="shared" si="135"/>
        <v>0</v>
      </c>
      <c r="N502" s="420"/>
      <c r="O502" s="420">
        <f t="shared" si="132"/>
        <v>0</v>
      </c>
      <c r="P502" s="420"/>
      <c r="R502" s="420"/>
    </row>
    <row r="503" spans="1:18" ht="15.75" x14ac:dyDescent="0.2">
      <c r="A503" s="466"/>
      <c r="B503" s="467" t="s">
        <v>1016</v>
      </c>
      <c r="C503" s="468">
        <v>0</v>
      </c>
      <c r="D503" s="424">
        <v>0</v>
      </c>
      <c r="E503" s="424"/>
      <c r="F503" s="427"/>
      <c r="G503" s="440"/>
      <c r="H503" s="437"/>
      <c r="I503" s="431"/>
      <c r="J503" s="430"/>
      <c r="K503" s="425"/>
      <c r="L503" s="429"/>
      <c r="M503" s="454">
        <f t="shared" si="135"/>
        <v>0</v>
      </c>
      <c r="N503" s="420"/>
      <c r="O503" s="420">
        <f t="shared" si="132"/>
        <v>0</v>
      </c>
      <c r="P503" s="420"/>
      <c r="R503" s="420"/>
    </row>
    <row r="504" spans="1:18" s="402" customFormat="1" ht="31.5" x14ac:dyDescent="0.2">
      <c r="A504" s="414">
        <v>250135</v>
      </c>
      <c r="B504" s="432" t="s">
        <v>565</v>
      </c>
      <c r="C504" s="433" t="s">
        <v>35</v>
      </c>
      <c r="D504" s="433">
        <v>271.39999999999998</v>
      </c>
      <c r="E504" s="433">
        <v>8.17</v>
      </c>
      <c r="F504" s="490">
        <f t="shared" ref="F504" si="146">ROUND((E504*D504),2)</f>
        <v>2217.34</v>
      </c>
      <c r="G504" s="483">
        <v>271.39999999999998</v>
      </c>
      <c r="H504" s="433">
        <v>2217.3379999999997</v>
      </c>
      <c r="I504" s="435">
        <f>IF(F504=0,0,H504/F504)</f>
        <v>0.99999909801834608</v>
      </c>
      <c r="J504" s="433">
        <f>D504-G504</f>
        <v>0</v>
      </c>
      <c r="K504" s="433">
        <f>ROUND((J504*E504),2)</f>
        <v>0</v>
      </c>
      <c r="L504" s="435">
        <f>IF(F504=0,0,K504/F504)</f>
        <v>0</v>
      </c>
      <c r="M504" s="454">
        <f t="shared" si="135"/>
        <v>2217.34</v>
      </c>
      <c r="N504" s="420"/>
      <c r="O504" s="420">
        <f t="shared" si="132"/>
        <v>0</v>
      </c>
      <c r="P504" s="454"/>
      <c r="R504" s="454"/>
    </row>
    <row r="505" spans="1:18" ht="31.5" x14ac:dyDescent="0.2">
      <c r="A505" s="466"/>
      <c r="B505" s="467" t="s">
        <v>1017</v>
      </c>
      <c r="C505" s="468">
        <v>0</v>
      </c>
      <c r="D505" s="424">
        <v>0</v>
      </c>
      <c r="E505" s="424"/>
      <c r="F505" s="427"/>
      <c r="G505" s="440"/>
      <c r="H505" s="437"/>
      <c r="I505" s="431"/>
      <c r="J505" s="430"/>
      <c r="K505" s="425"/>
      <c r="L505" s="429"/>
      <c r="M505" s="454">
        <f t="shared" si="135"/>
        <v>0</v>
      </c>
      <c r="N505" s="420"/>
      <c r="O505" s="420">
        <f t="shared" si="132"/>
        <v>0</v>
      </c>
      <c r="P505" s="420"/>
      <c r="R505" s="420"/>
    </row>
    <row r="506" spans="1:18" s="402" customFormat="1" ht="47.25" x14ac:dyDescent="0.2">
      <c r="A506" s="414">
        <v>250136</v>
      </c>
      <c r="B506" s="432" t="s">
        <v>1018</v>
      </c>
      <c r="C506" s="433" t="s">
        <v>35</v>
      </c>
      <c r="D506" s="433">
        <v>152.68</v>
      </c>
      <c r="E506" s="433">
        <v>38.369999999999997</v>
      </c>
      <c r="F506" s="490">
        <f t="shared" ref="F506:F507" si="147">ROUND((E506*D506),2)</f>
        <v>5858.33</v>
      </c>
      <c r="G506" s="483">
        <v>152.68</v>
      </c>
      <c r="H506" s="433">
        <v>5858.3315999999995</v>
      </c>
      <c r="I506" s="435">
        <f>IF(F506=0,0,H506/F506)</f>
        <v>1.0000002731153759</v>
      </c>
      <c r="J506" s="433">
        <f>D506-G506</f>
        <v>0</v>
      </c>
      <c r="K506" s="433">
        <f>ROUND((J506*E506),2)</f>
        <v>0</v>
      </c>
      <c r="L506" s="435">
        <f>IF(F506=0,0,K506/F506)</f>
        <v>0</v>
      </c>
      <c r="M506" s="454">
        <f t="shared" si="135"/>
        <v>5858.33</v>
      </c>
      <c r="N506" s="420"/>
      <c r="O506" s="420">
        <f t="shared" si="132"/>
        <v>0</v>
      </c>
      <c r="P506" s="454"/>
      <c r="R506" s="454"/>
    </row>
    <row r="507" spans="1:18" s="402" customFormat="1" ht="47.25" x14ac:dyDescent="0.2">
      <c r="A507" s="414">
        <v>250137</v>
      </c>
      <c r="B507" s="432" t="s">
        <v>579</v>
      </c>
      <c r="C507" s="433" t="s">
        <v>35</v>
      </c>
      <c r="D507" s="433">
        <v>112.84</v>
      </c>
      <c r="E507" s="433">
        <v>64.739999999999995</v>
      </c>
      <c r="F507" s="490">
        <f t="shared" si="147"/>
        <v>7305.26</v>
      </c>
      <c r="G507" s="483">
        <v>112.84</v>
      </c>
      <c r="H507" s="433">
        <v>7305.2615999999998</v>
      </c>
      <c r="I507" s="435">
        <f>IF(F507=0,0,H507/F507)</f>
        <v>1.0000002190202675</v>
      </c>
      <c r="J507" s="433">
        <f>D507-G507</f>
        <v>0</v>
      </c>
      <c r="K507" s="433">
        <f>ROUND((J507*E507),2)</f>
        <v>0</v>
      </c>
      <c r="L507" s="435">
        <f>IF(F507=0,0,K507/F507)</f>
        <v>0</v>
      </c>
      <c r="M507" s="454">
        <f t="shared" si="135"/>
        <v>7305.26</v>
      </c>
      <c r="N507" s="420"/>
      <c r="O507" s="420">
        <f t="shared" si="132"/>
        <v>0</v>
      </c>
      <c r="P507" s="454"/>
      <c r="R507" s="454"/>
    </row>
    <row r="508" spans="1:18" ht="15.75" x14ac:dyDescent="0.2">
      <c r="A508" s="466"/>
      <c r="B508" s="467" t="s">
        <v>1019</v>
      </c>
      <c r="C508" s="468">
        <v>0</v>
      </c>
      <c r="D508" s="424">
        <v>0</v>
      </c>
      <c r="E508" s="424"/>
      <c r="F508" s="427"/>
      <c r="G508" s="440"/>
      <c r="H508" s="437"/>
      <c r="I508" s="431"/>
      <c r="J508" s="430"/>
      <c r="K508" s="425"/>
      <c r="L508" s="429"/>
      <c r="M508" s="454">
        <f t="shared" si="135"/>
        <v>0</v>
      </c>
      <c r="N508" s="420"/>
      <c r="O508" s="420">
        <f t="shared" si="132"/>
        <v>0</v>
      </c>
      <c r="P508" s="420"/>
      <c r="R508" s="420"/>
    </row>
    <row r="509" spans="1:18" s="402" customFormat="1" ht="78" customHeight="1" x14ac:dyDescent="0.2">
      <c r="A509" s="414">
        <v>250138</v>
      </c>
      <c r="B509" s="432" t="s">
        <v>1020</v>
      </c>
      <c r="C509" s="433" t="s">
        <v>35</v>
      </c>
      <c r="D509" s="433">
        <v>24.72</v>
      </c>
      <c r="E509" s="433">
        <v>148.16</v>
      </c>
      <c r="F509" s="490">
        <f t="shared" ref="F509:F511" si="148">ROUND((E509*D509),2)</f>
        <v>3662.52</v>
      </c>
      <c r="G509" s="483">
        <v>24.72</v>
      </c>
      <c r="H509" s="433">
        <v>3662.5151999999998</v>
      </c>
      <c r="I509" s="435">
        <f>IF(F509=0,0,H509/F509)</f>
        <v>0.99999868942695191</v>
      </c>
      <c r="J509" s="433">
        <f>D509-G509</f>
        <v>0</v>
      </c>
      <c r="K509" s="433">
        <f>ROUND((J509*E509),2)</f>
        <v>0</v>
      </c>
      <c r="L509" s="435">
        <f>IF(F509=0,0,K509/F509)</f>
        <v>0</v>
      </c>
      <c r="M509" s="454">
        <f t="shared" si="135"/>
        <v>3662.52</v>
      </c>
      <c r="N509" s="420"/>
      <c r="O509" s="420">
        <f t="shared" si="132"/>
        <v>0</v>
      </c>
      <c r="P509" s="454"/>
      <c r="R509" s="454"/>
    </row>
    <row r="510" spans="1:18" s="402" customFormat="1" ht="36" customHeight="1" x14ac:dyDescent="0.2">
      <c r="A510" s="414">
        <v>250139</v>
      </c>
      <c r="B510" s="432" t="s">
        <v>567</v>
      </c>
      <c r="C510" s="433" t="s">
        <v>35</v>
      </c>
      <c r="D510" s="433">
        <v>283.60000000000002</v>
      </c>
      <c r="E510" s="433">
        <v>607.12</v>
      </c>
      <c r="F510" s="490">
        <f t="shared" si="148"/>
        <v>172179.23</v>
      </c>
      <c r="G510" s="483">
        <v>283.59999999999997</v>
      </c>
      <c r="H510" s="433">
        <v>172179.23199999999</v>
      </c>
      <c r="I510" s="435">
        <f>IF(F510=0,0,H510/F510)</f>
        <v>1.0000000116158028</v>
      </c>
      <c r="J510" s="433">
        <f>D510-G510</f>
        <v>0</v>
      </c>
      <c r="K510" s="433">
        <f>ROUND((J510*E510),2)</f>
        <v>0</v>
      </c>
      <c r="L510" s="435">
        <f>IF(F510=0,0,K510/F510)</f>
        <v>0</v>
      </c>
      <c r="M510" s="454">
        <f t="shared" si="135"/>
        <v>172179.23</v>
      </c>
      <c r="N510" s="420"/>
      <c r="O510" s="420">
        <f t="shared" si="132"/>
        <v>0</v>
      </c>
      <c r="P510" s="454"/>
      <c r="R510" s="454"/>
    </row>
    <row r="511" spans="1:18" s="402" customFormat="1" ht="33.75" customHeight="1" x14ac:dyDescent="0.2">
      <c r="A511" s="414">
        <v>250140</v>
      </c>
      <c r="B511" s="432" t="s">
        <v>1021</v>
      </c>
      <c r="C511" s="433" t="s">
        <v>26</v>
      </c>
      <c r="D511" s="433">
        <v>10.44</v>
      </c>
      <c r="E511" s="433">
        <v>23.51</v>
      </c>
      <c r="F511" s="490">
        <f t="shared" si="148"/>
        <v>245.44</v>
      </c>
      <c r="G511" s="483">
        <v>10.44</v>
      </c>
      <c r="H511" s="433">
        <v>245.4444</v>
      </c>
      <c r="I511" s="435">
        <f>IF(F511=0,0,H511/F511)</f>
        <v>1.0000179269882661</v>
      </c>
      <c r="J511" s="433">
        <f>D511-G511</f>
        <v>0</v>
      </c>
      <c r="K511" s="433">
        <f>ROUND((J511*E511),2)</f>
        <v>0</v>
      </c>
      <c r="L511" s="435">
        <f>IF(F511=0,0,K511/F511)</f>
        <v>0</v>
      </c>
      <c r="M511" s="454">
        <f t="shared" si="135"/>
        <v>245.44</v>
      </c>
      <c r="N511" s="420"/>
      <c r="O511" s="420">
        <f t="shared" si="132"/>
        <v>0</v>
      </c>
      <c r="P511" s="454"/>
      <c r="R511" s="454"/>
    </row>
    <row r="512" spans="1:18" ht="15.75" x14ac:dyDescent="0.2">
      <c r="A512" s="466"/>
      <c r="B512" s="467" t="s">
        <v>581</v>
      </c>
      <c r="C512" s="468">
        <v>0</v>
      </c>
      <c r="D512" s="424">
        <v>0</v>
      </c>
      <c r="E512" s="424"/>
      <c r="F512" s="427"/>
      <c r="G512" s="440"/>
      <c r="H512" s="437"/>
      <c r="I512" s="431"/>
      <c r="J512" s="430"/>
      <c r="K512" s="425"/>
      <c r="L512" s="429"/>
      <c r="M512" s="454">
        <f t="shared" si="135"/>
        <v>0</v>
      </c>
      <c r="N512" s="420"/>
      <c r="O512" s="420">
        <f t="shared" si="132"/>
        <v>0</v>
      </c>
      <c r="P512" s="420"/>
      <c r="R512" s="420"/>
    </row>
    <row r="513" spans="1:18" ht="15.75" x14ac:dyDescent="0.2">
      <c r="A513" s="466"/>
      <c r="B513" s="467" t="s">
        <v>1022</v>
      </c>
      <c r="C513" s="468">
        <v>0</v>
      </c>
      <c r="D513" s="424">
        <v>0</v>
      </c>
      <c r="E513" s="424"/>
      <c r="F513" s="427"/>
      <c r="G513" s="440"/>
      <c r="H513" s="433">
        <v>0</v>
      </c>
      <c r="I513" s="431"/>
      <c r="J513" s="430"/>
      <c r="K513" s="425"/>
      <c r="L513" s="429"/>
      <c r="M513" s="454">
        <f t="shared" si="135"/>
        <v>0</v>
      </c>
      <c r="N513" s="420"/>
      <c r="O513" s="420">
        <f t="shared" si="132"/>
        <v>0</v>
      </c>
      <c r="P513" s="420"/>
      <c r="R513" s="420"/>
    </row>
    <row r="514" spans="1:18" s="402" customFormat="1" ht="15.75" x14ac:dyDescent="0.2">
      <c r="A514" s="414">
        <v>250141</v>
      </c>
      <c r="B514" s="432" t="s">
        <v>1023</v>
      </c>
      <c r="C514" s="433" t="s">
        <v>35</v>
      </c>
      <c r="D514" s="433">
        <v>10.76</v>
      </c>
      <c r="E514" s="433">
        <v>63.89</v>
      </c>
      <c r="F514" s="490">
        <f t="shared" ref="F514:F515" si="149">ROUND((E514*D514),2)</f>
        <v>687.46</v>
      </c>
      <c r="G514" s="483">
        <v>10.76</v>
      </c>
      <c r="H514" s="433">
        <v>687.45640000000003</v>
      </c>
      <c r="I514" s="435">
        <f>IF(F514=0,0,H514/F514)</f>
        <v>0.9999947633316848</v>
      </c>
      <c r="J514" s="433">
        <f>D514-G514</f>
        <v>0</v>
      </c>
      <c r="K514" s="433">
        <f>ROUND((J514*E514),2)</f>
        <v>0</v>
      </c>
      <c r="L514" s="435">
        <f>IF(F514=0,0,K514/F514)</f>
        <v>0</v>
      </c>
      <c r="M514" s="454">
        <f t="shared" si="135"/>
        <v>687.46</v>
      </c>
      <c r="N514" s="420"/>
      <c r="O514" s="420">
        <f t="shared" si="132"/>
        <v>0</v>
      </c>
      <c r="P514" s="454"/>
      <c r="R514" s="454"/>
    </row>
    <row r="515" spans="1:18" s="402" customFormat="1" ht="31.5" x14ac:dyDescent="0.2">
      <c r="A515" s="414">
        <v>250142</v>
      </c>
      <c r="B515" s="432" t="s">
        <v>583</v>
      </c>
      <c r="C515" s="433" t="s">
        <v>35</v>
      </c>
      <c r="D515" s="433">
        <v>16.260000000000002</v>
      </c>
      <c r="E515" s="433">
        <v>29.52</v>
      </c>
      <c r="F515" s="490">
        <f t="shared" si="149"/>
        <v>480</v>
      </c>
      <c r="G515" s="483">
        <v>16.260000000000002</v>
      </c>
      <c r="H515" s="433">
        <v>479.99520000000001</v>
      </c>
      <c r="I515" s="435">
        <f>IF(F515=0,0,H515/F515)</f>
        <v>0.99999000000000005</v>
      </c>
      <c r="J515" s="433">
        <f>D515-G515</f>
        <v>0</v>
      </c>
      <c r="K515" s="433">
        <f>ROUND((J515*E515),2)</f>
        <v>0</v>
      </c>
      <c r="L515" s="435">
        <f>IF(F515=0,0,K515/F515)</f>
        <v>0</v>
      </c>
      <c r="M515" s="454">
        <f t="shared" si="135"/>
        <v>480</v>
      </c>
      <c r="N515" s="420"/>
      <c r="O515" s="420">
        <f t="shared" si="132"/>
        <v>0</v>
      </c>
      <c r="P515" s="454"/>
      <c r="R515" s="454"/>
    </row>
    <row r="516" spans="1:18" ht="15.75" x14ac:dyDescent="0.2">
      <c r="A516" s="466"/>
      <c r="B516" s="467" t="s">
        <v>1019</v>
      </c>
      <c r="C516" s="468">
        <v>0</v>
      </c>
      <c r="D516" s="424">
        <v>0</v>
      </c>
      <c r="E516" s="424"/>
      <c r="F516" s="427"/>
      <c r="G516" s="440"/>
      <c r="H516" s="437"/>
      <c r="I516" s="431"/>
      <c r="J516" s="430"/>
      <c r="K516" s="425"/>
      <c r="L516" s="429"/>
      <c r="M516" s="454">
        <f t="shared" si="135"/>
        <v>0</v>
      </c>
      <c r="N516" s="420"/>
      <c r="O516" s="420">
        <f t="shared" si="132"/>
        <v>0</v>
      </c>
      <c r="P516" s="420"/>
      <c r="R516" s="420"/>
    </row>
    <row r="517" spans="1:18" s="402" customFormat="1" ht="31.5" x14ac:dyDescent="0.2">
      <c r="A517" s="414">
        <v>250143</v>
      </c>
      <c r="B517" s="432" t="s">
        <v>1024</v>
      </c>
      <c r="C517" s="433" t="s">
        <v>35</v>
      </c>
      <c r="D517" s="433">
        <v>16.260000000000002</v>
      </c>
      <c r="E517" s="433">
        <v>120.94</v>
      </c>
      <c r="F517" s="490">
        <f t="shared" ref="F517:F519" si="150">ROUND((E517*D517),2)</f>
        <v>1966.48</v>
      </c>
      <c r="G517" s="483">
        <v>16.260000000000002</v>
      </c>
      <c r="H517" s="433">
        <v>1966.4844000000001</v>
      </c>
      <c r="I517" s="435">
        <f>IF(F517=0,0,H517/F517)</f>
        <v>1.0000022375005084</v>
      </c>
      <c r="J517" s="433">
        <f>D517-G517</f>
        <v>0</v>
      </c>
      <c r="K517" s="433">
        <f>ROUND((J517*E517),2)</f>
        <v>0</v>
      </c>
      <c r="L517" s="435">
        <f>IF(F517=0,0,K517/F517)</f>
        <v>0</v>
      </c>
      <c r="M517" s="454">
        <f t="shared" si="135"/>
        <v>1966.48</v>
      </c>
      <c r="N517" s="420"/>
      <c r="O517" s="420">
        <f t="shared" si="132"/>
        <v>0</v>
      </c>
      <c r="P517" s="454"/>
      <c r="R517" s="454"/>
    </row>
    <row r="518" spans="1:18" s="402" customFormat="1" ht="31.5" x14ac:dyDescent="0.2">
      <c r="A518" s="414">
        <v>250144</v>
      </c>
      <c r="B518" s="432" t="s">
        <v>1025</v>
      </c>
      <c r="C518" s="433" t="s">
        <v>26</v>
      </c>
      <c r="D518" s="433">
        <v>9.6</v>
      </c>
      <c r="E518" s="433">
        <v>11.74</v>
      </c>
      <c r="F518" s="490">
        <f t="shared" si="150"/>
        <v>112.7</v>
      </c>
      <c r="G518" s="483">
        <v>0</v>
      </c>
      <c r="H518" s="433">
        <v>0</v>
      </c>
      <c r="I518" s="435">
        <f>IF(F518=0,0,H518/F518)</f>
        <v>0</v>
      </c>
      <c r="J518" s="433">
        <f>D518-G518</f>
        <v>9.6</v>
      </c>
      <c r="K518" s="433">
        <f>ROUND((J518*E518),2)</f>
        <v>112.7</v>
      </c>
      <c r="L518" s="435">
        <f>IF(F518=0,0,K518/F518)</f>
        <v>1</v>
      </c>
      <c r="M518" s="454">
        <f t="shared" si="135"/>
        <v>0</v>
      </c>
      <c r="N518" s="420"/>
      <c r="O518" s="420">
        <f t="shared" si="132"/>
        <v>112.7</v>
      </c>
      <c r="P518" s="454"/>
      <c r="R518" s="454"/>
    </row>
    <row r="519" spans="1:18" s="402" customFormat="1" ht="78.75" x14ac:dyDescent="0.2">
      <c r="A519" s="414">
        <v>250145</v>
      </c>
      <c r="B519" s="432" t="s">
        <v>1026</v>
      </c>
      <c r="C519" s="433" t="s">
        <v>35</v>
      </c>
      <c r="D519" s="433">
        <v>16.260000000000002</v>
      </c>
      <c r="E519" s="433">
        <v>148.16</v>
      </c>
      <c r="F519" s="490">
        <f t="shared" si="150"/>
        <v>2409.08</v>
      </c>
      <c r="G519" s="483">
        <v>16.260000000000002</v>
      </c>
      <c r="H519" s="433">
        <v>2409.0816</v>
      </c>
      <c r="I519" s="435">
        <f>IF(F519=0,0,H519/F519)</f>
        <v>1.0000006641539509</v>
      </c>
      <c r="J519" s="433">
        <f>D519-G519</f>
        <v>0</v>
      </c>
      <c r="K519" s="433">
        <f>ROUND((J519*E519),2)</f>
        <v>0</v>
      </c>
      <c r="L519" s="435">
        <f>IF(F519=0,0,K519/F519)</f>
        <v>0</v>
      </c>
      <c r="M519" s="454">
        <f t="shared" si="135"/>
        <v>2409.08</v>
      </c>
      <c r="N519" s="420"/>
      <c r="O519" s="420">
        <f t="shared" si="132"/>
        <v>0</v>
      </c>
      <c r="P519" s="454"/>
      <c r="R519" s="454"/>
    </row>
    <row r="520" spans="1:18" ht="15.75" x14ac:dyDescent="0.2">
      <c r="A520" s="466"/>
      <c r="B520" s="467" t="s">
        <v>1027</v>
      </c>
      <c r="C520" s="468">
        <v>0</v>
      </c>
      <c r="D520" s="424">
        <v>0</v>
      </c>
      <c r="E520" s="424"/>
      <c r="F520" s="427"/>
      <c r="G520" s="440"/>
      <c r="H520" s="437"/>
      <c r="I520" s="431"/>
      <c r="J520" s="430"/>
      <c r="K520" s="425"/>
      <c r="L520" s="429"/>
      <c r="M520" s="454">
        <f t="shared" si="135"/>
        <v>0</v>
      </c>
      <c r="N520" s="420"/>
      <c r="O520" s="420">
        <f t="shared" si="132"/>
        <v>0</v>
      </c>
      <c r="P520" s="420"/>
      <c r="R520" s="420"/>
    </row>
    <row r="521" spans="1:18" s="402" customFormat="1" ht="47.25" x14ac:dyDescent="0.2">
      <c r="A521" s="414">
        <v>250146</v>
      </c>
      <c r="B521" s="432" t="s">
        <v>1028</v>
      </c>
      <c r="C521" s="433" t="s">
        <v>26</v>
      </c>
      <c r="D521" s="433">
        <v>11.28</v>
      </c>
      <c r="E521" s="433">
        <v>168.21</v>
      </c>
      <c r="F521" s="490">
        <f t="shared" ref="F521:F525" si="151">ROUND((E521*D521),2)</f>
        <v>1897.41</v>
      </c>
      <c r="G521" s="483">
        <v>11.28</v>
      </c>
      <c r="H521" s="433">
        <v>1897.4087999999999</v>
      </c>
      <c r="I521" s="435">
        <f>IF(F521=0,0,H521/F521)</f>
        <v>0.99999936755893548</v>
      </c>
      <c r="J521" s="433">
        <f>D521-G521</f>
        <v>0</v>
      </c>
      <c r="K521" s="433">
        <f>ROUND((J521*E521),2)</f>
        <v>0</v>
      </c>
      <c r="L521" s="435">
        <f>IF(F521=0,0,K521/F521)</f>
        <v>0</v>
      </c>
      <c r="M521" s="454">
        <f t="shared" si="135"/>
        <v>1897.41</v>
      </c>
      <c r="N521" s="420"/>
      <c r="O521" s="420">
        <f t="shared" si="132"/>
        <v>0</v>
      </c>
      <c r="P521" s="454"/>
      <c r="R521" s="454"/>
    </row>
    <row r="522" spans="1:18" s="402" customFormat="1" ht="47.25" x14ac:dyDescent="0.2">
      <c r="A522" s="414">
        <v>250147</v>
      </c>
      <c r="B522" s="432" t="s">
        <v>1029</v>
      </c>
      <c r="C522" s="433" t="s">
        <v>26</v>
      </c>
      <c r="D522" s="433">
        <v>37.840000000000003</v>
      </c>
      <c r="E522" s="433">
        <v>183.02</v>
      </c>
      <c r="F522" s="490">
        <f t="shared" si="151"/>
        <v>6925.48</v>
      </c>
      <c r="G522" s="483">
        <v>37.840000000000003</v>
      </c>
      <c r="H522" s="433">
        <v>6925.4768000000013</v>
      </c>
      <c r="I522" s="435">
        <f>IF(F522=0,0,H522/F522)</f>
        <v>0.99999953793816487</v>
      </c>
      <c r="J522" s="433">
        <f>D522-G522</f>
        <v>0</v>
      </c>
      <c r="K522" s="433">
        <f>ROUND((J522*E522),2)</f>
        <v>0</v>
      </c>
      <c r="L522" s="435">
        <f>IF(F522=0,0,K522/F522)</f>
        <v>0</v>
      </c>
      <c r="M522" s="454">
        <f t="shared" si="135"/>
        <v>6925.48</v>
      </c>
      <c r="N522" s="420"/>
      <c r="O522" s="420">
        <f t="shared" si="132"/>
        <v>0</v>
      </c>
      <c r="P522" s="454"/>
      <c r="R522" s="454"/>
    </row>
    <row r="523" spans="1:18" s="402" customFormat="1" ht="33.75" customHeight="1" x14ac:dyDescent="0.2">
      <c r="A523" s="414">
        <v>250148</v>
      </c>
      <c r="B523" s="432" t="s">
        <v>1030</v>
      </c>
      <c r="C523" s="433" t="s">
        <v>26</v>
      </c>
      <c r="D523" s="433">
        <v>16.22</v>
      </c>
      <c r="E523" s="433">
        <v>66.55</v>
      </c>
      <c r="F523" s="490">
        <f t="shared" si="151"/>
        <v>1079.44</v>
      </c>
      <c r="G523" s="483">
        <v>16.22</v>
      </c>
      <c r="H523" s="433">
        <v>1079.4409999999998</v>
      </c>
      <c r="I523" s="435">
        <f>IF(F523=0,0,H523/F523)</f>
        <v>1.0000009264062846</v>
      </c>
      <c r="J523" s="433">
        <f>D523-G523</f>
        <v>0</v>
      </c>
      <c r="K523" s="433">
        <f>ROUND((J523*E523),2)</f>
        <v>0</v>
      </c>
      <c r="L523" s="435">
        <f>IF(F523=0,0,K523/F523)</f>
        <v>0</v>
      </c>
      <c r="M523" s="454">
        <f t="shared" si="135"/>
        <v>1079.44</v>
      </c>
      <c r="N523" s="420"/>
      <c r="O523" s="420">
        <f t="shared" ref="O523:O586" si="152">K523-N523</f>
        <v>0</v>
      </c>
      <c r="P523" s="454"/>
      <c r="R523" s="454"/>
    </row>
    <row r="524" spans="1:18" s="402" customFormat="1" ht="21" customHeight="1" x14ac:dyDescent="0.2">
      <c r="A524" s="414">
        <v>250149</v>
      </c>
      <c r="B524" s="432" t="s">
        <v>1031</v>
      </c>
      <c r="C524" s="433" t="s">
        <v>26</v>
      </c>
      <c r="D524" s="433">
        <v>4.8</v>
      </c>
      <c r="E524" s="433">
        <v>10.99</v>
      </c>
      <c r="F524" s="490">
        <f t="shared" si="151"/>
        <v>52.75</v>
      </c>
      <c r="G524" s="483">
        <v>4.8</v>
      </c>
      <c r="H524" s="433">
        <v>52.752000000000002</v>
      </c>
      <c r="I524" s="435">
        <f>IF(F524=0,0,H524/F524)</f>
        <v>1.0000379146919431</v>
      </c>
      <c r="J524" s="433">
        <f>D524-G524</f>
        <v>0</v>
      </c>
      <c r="K524" s="433">
        <f>ROUND((J524*E524),2)</f>
        <v>0</v>
      </c>
      <c r="L524" s="435">
        <f>IF(F524=0,0,K524/F524)</f>
        <v>0</v>
      </c>
      <c r="M524" s="454">
        <f t="shared" si="135"/>
        <v>52.75</v>
      </c>
      <c r="N524" s="420"/>
      <c r="O524" s="420">
        <f t="shared" si="152"/>
        <v>0</v>
      </c>
      <c r="P524" s="454"/>
      <c r="R524" s="454"/>
    </row>
    <row r="525" spans="1:18" s="402" customFormat="1" ht="31.5" x14ac:dyDescent="0.2">
      <c r="A525" s="414">
        <v>250150</v>
      </c>
      <c r="B525" s="432" t="s">
        <v>1032</v>
      </c>
      <c r="C525" s="433" t="s">
        <v>26</v>
      </c>
      <c r="D525" s="433">
        <v>24.44</v>
      </c>
      <c r="E525" s="433">
        <v>174</v>
      </c>
      <c r="F525" s="490">
        <f t="shared" si="151"/>
        <v>4252.5600000000004</v>
      </c>
      <c r="G525" s="483">
        <v>24.44</v>
      </c>
      <c r="H525" s="433">
        <v>4252.5600000000004</v>
      </c>
      <c r="I525" s="435">
        <f>IF(F525=0,0,H525/F525)</f>
        <v>1</v>
      </c>
      <c r="J525" s="433">
        <f>D525-G525</f>
        <v>0</v>
      </c>
      <c r="K525" s="433">
        <f>ROUND((J525*E525),2)</f>
        <v>0</v>
      </c>
      <c r="L525" s="435">
        <f>IF(F525=0,0,K525/F525)</f>
        <v>0</v>
      </c>
      <c r="M525" s="454">
        <f t="shared" si="135"/>
        <v>4252.5600000000004</v>
      </c>
      <c r="N525" s="420"/>
      <c r="O525" s="420">
        <f t="shared" si="152"/>
        <v>0</v>
      </c>
      <c r="P525" s="454"/>
      <c r="R525" s="454"/>
    </row>
    <row r="526" spans="1:18" ht="15.75" x14ac:dyDescent="0.2">
      <c r="A526" s="473"/>
      <c r="B526" s="475" t="s">
        <v>600</v>
      </c>
      <c r="C526" s="471">
        <v>0</v>
      </c>
      <c r="D526" s="424">
        <v>0</v>
      </c>
      <c r="E526" s="424"/>
      <c r="F526" s="427"/>
      <c r="G526" s="440"/>
      <c r="H526" s="437"/>
      <c r="I526" s="431"/>
      <c r="J526" s="430"/>
      <c r="K526" s="425"/>
      <c r="L526" s="429"/>
      <c r="M526" s="454">
        <f t="shared" si="135"/>
        <v>0</v>
      </c>
      <c r="N526" s="420"/>
      <c r="O526" s="420">
        <f t="shared" si="152"/>
        <v>0</v>
      </c>
      <c r="P526" s="420"/>
      <c r="R526" s="420"/>
    </row>
    <row r="527" spans="1:18" ht="15.75" x14ac:dyDescent="0.2">
      <c r="A527" s="473"/>
      <c r="B527" s="475" t="s">
        <v>1033</v>
      </c>
      <c r="C527" s="471">
        <v>0</v>
      </c>
      <c r="D527" s="424">
        <v>0</v>
      </c>
      <c r="E527" s="424"/>
      <c r="F527" s="427"/>
      <c r="G527" s="440"/>
      <c r="H527" s="437"/>
      <c r="I527" s="431"/>
      <c r="J527" s="430"/>
      <c r="K527" s="425"/>
      <c r="L527" s="429"/>
      <c r="M527" s="454">
        <f t="shared" si="135"/>
        <v>0</v>
      </c>
      <c r="N527" s="420"/>
      <c r="O527" s="420">
        <f t="shared" si="152"/>
        <v>0</v>
      </c>
      <c r="P527" s="420"/>
      <c r="R527" s="420"/>
    </row>
    <row r="528" spans="1:18" s="402" customFormat="1" ht="31.5" x14ac:dyDescent="0.2">
      <c r="A528" s="414">
        <v>250151</v>
      </c>
      <c r="B528" s="432" t="s">
        <v>619</v>
      </c>
      <c r="C528" s="433" t="s">
        <v>26</v>
      </c>
      <c r="D528" s="433">
        <v>34.200000000000003</v>
      </c>
      <c r="E528" s="433">
        <v>28.51</v>
      </c>
      <c r="F528" s="490">
        <f t="shared" ref="F528:F530" si="153">ROUND((E528*D528),2)</f>
        <v>975.04</v>
      </c>
      <c r="G528" s="483">
        <v>34.200000000000003</v>
      </c>
      <c r="H528" s="433">
        <v>975.04200000000014</v>
      </c>
      <c r="I528" s="435">
        <f>IF(F528=0,0,H528/F528)</f>
        <v>1.0000020511978998</v>
      </c>
      <c r="J528" s="433">
        <f>D528-G528</f>
        <v>0</v>
      </c>
      <c r="K528" s="433">
        <f>ROUND((J528*E528),2)</f>
        <v>0</v>
      </c>
      <c r="L528" s="435">
        <f>IF(F528=0,0,K528/F528)</f>
        <v>0</v>
      </c>
      <c r="M528" s="454">
        <f t="shared" si="135"/>
        <v>975.04</v>
      </c>
      <c r="N528" s="420"/>
      <c r="O528" s="420">
        <f t="shared" si="152"/>
        <v>0</v>
      </c>
      <c r="P528" s="454"/>
      <c r="R528" s="454"/>
    </row>
    <row r="529" spans="1:18" s="402" customFormat="1" ht="31.5" x14ac:dyDescent="0.2">
      <c r="A529" s="414">
        <v>250152</v>
      </c>
      <c r="B529" s="432" t="s">
        <v>1034</v>
      </c>
      <c r="C529" s="433" t="s">
        <v>26</v>
      </c>
      <c r="D529" s="433">
        <v>7.6</v>
      </c>
      <c r="E529" s="433">
        <v>39.97</v>
      </c>
      <c r="F529" s="490">
        <f t="shared" si="153"/>
        <v>303.77</v>
      </c>
      <c r="G529" s="483">
        <v>7.6</v>
      </c>
      <c r="H529" s="433">
        <v>303.77199999999999</v>
      </c>
      <c r="I529" s="435">
        <f>IF(F529=0,0,H529/F529)</f>
        <v>1.0000065839286303</v>
      </c>
      <c r="J529" s="433">
        <f>D529-G529</f>
        <v>0</v>
      </c>
      <c r="K529" s="433">
        <f>ROUND((J529*E529),2)</f>
        <v>0</v>
      </c>
      <c r="L529" s="435">
        <f>IF(F529=0,0,K529/F529)</f>
        <v>0</v>
      </c>
      <c r="M529" s="454">
        <f t="shared" si="135"/>
        <v>303.77</v>
      </c>
      <c r="N529" s="420"/>
      <c r="O529" s="420">
        <f t="shared" si="152"/>
        <v>0</v>
      </c>
      <c r="P529" s="454"/>
      <c r="R529" s="454"/>
    </row>
    <row r="530" spans="1:18" s="402" customFormat="1" ht="31.5" x14ac:dyDescent="0.2">
      <c r="A530" s="414">
        <v>250153</v>
      </c>
      <c r="B530" s="432" t="s">
        <v>1035</v>
      </c>
      <c r="C530" s="433" t="s">
        <v>26</v>
      </c>
      <c r="D530" s="433">
        <v>5.6</v>
      </c>
      <c r="E530" s="433">
        <v>41.64</v>
      </c>
      <c r="F530" s="490">
        <f t="shared" si="153"/>
        <v>233.18</v>
      </c>
      <c r="G530" s="483">
        <v>5.6</v>
      </c>
      <c r="H530" s="433">
        <v>233.184</v>
      </c>
      <c r="I530" s="435">
        <f>IF(F530=0,0,H530/F530)</f>
        <v>1.0000171541298568</v>
      </c>
      <c r="J530" s="433">
        <f>D530-G530</f>
        <v>0</v>
      </c>
      <c r="K530" s="433">
        <f>ROUND((J530*E530),2)</f>
        <v>0</v>
      </c>
      <c r="L530" s="435">
        <f>IF(F530=0,0,K530/F530)</f>
        <v>0</v>
      </c>
      <c r="M530" s="454">
        <f t="shared" si="135"/>
        <v>233.18</v>
      </c>
      <c r="N530" s="420"/>
      <c r="O530" s="420">
        <f t="shared" si="152"/>
        <v>0</v>
      </c>
      <c r="P530" s="454"/>
      <c r="R530" s="454"/>
    </row>
    <row r="531" spans="1:18" ht="15" customHeight="1" x14ac:dyDescent="0.2">
      <c r="A531" s="473"/>
      <c r="B531" s="475" t="s">
        <v>1036</v>
      </c>
      <c r="C531" s="471">
        <v>0</v>
      </c>
      <c r="D531" s="424">
        <v>0</v>
      </c>
      <c r="E531" s="424"/>
      <c r="F531" s="427"/>
      <c r="G531" s="440"/>
      <c r="H531" s="437"/>
      <c r="I531" s="431"/>
      <c r="J531" s="430"/>
      <c r="K531" s="425"/>
      <c r="L531" s="429"/>
      <c r="M531" s="454">
        <f t="shared" si="135"/>
        <v>0</v>
      </c>
      <c r="N531" s="420"/>
      <c r="O531" s="420">
        <f t="shared" si="152"/>
        <v>0</v>
      </c>
      <c r="P531" s="420"/>
      <c r="R531" s="420"/>
    </row>
    <row r="532" spans="1:18" s="402" customFormat="1" ht="31.5" x14ac:dyDescent="0.2">
      <c r="A532" s="414">
        <v>250154</v>
      </c>
      <c r="B532" s="432" t="s">
        <v>1037</v>
      </c>
      <c r="C532" s="433" t="s">
        <v>23</v>
      </c>
      <c r="D532" s="433">
        <v>2</v>
      </c>
      <c r="E532" s="433">
        <v>25.45</v>
      </c>
      <c r="F532" s="490">
        <f t="shared" ref="F532:F533" si="154">ROUND((E532*D532),2)</f>
        <v>50.9</v>
      </c>
      <c r="G532" s="483">
        <v>2</v>
      </c>
      <c r="H532" s="433">
        <v>50.9</v>
      </c>
      <c r="I532" s="435">
        <f>IF(F532=0,0,H532/F532)</f>
        <v>1</v>
      </c>
      <c r="J532" s="433">
        <f>D532-G532</f>
        <v>0</v>
      </c>
      <c r="K532" s="433">
        <f>ROUND((J532*E532),2)</f>
        <v>0</v>
      </c>
      <c r="L532" s="435">
        <f>IF(F532=0,0,K532/F532)</f>
        <v>0</v>
      </c>
      <c r="M532" s="454">
        <f t="shared" si="135"/>
        <v>50.9</v>
      </c>
      <c r="N532" s="420"/>
      <c r="O532" s="420">
        <f t="shared" si="152"/>
        <v>0</v>
      </c>
      <c r="P532" s="454"/>
      <c r="R532" s="454"/>
    </row>
    <row r="533" spans="1:18" s="402" customFormat="1" ht="31.5" x14ac:dyDescent="0.2">
      <c r="A533" s="414">
        <v>250155</v>
      </c>
      <c r="B533" s="432" t="s">
        <v>1038</v>
      </c>
      <c r="C533" s="433" t="s">
        <v>23</v>
      </c>
      <c r="D533" s="433">
        <v>4</v>
      </c>
      <c r="E533" s="433">
        <v>38.799999999999997</v>
      </c>
      <c r="F533" s="490">
        <f t="shared" si="154"/>
        <v>155.19999999999999</v>
      </c>
      <c r="G533" s="483">
        <v>4</v>
      </c>
      <c r="H533" s="433">
        <v>155.19999999999999</v>
      </c>
      <c r="I533" s="435">
        <f>IF(F533=0,0,H533/F533)</f>
        <v>1</v>
      </c>
      <c r="J533" s="433">
        <f>D533-G533</f>
        <v>0</v>
      </c>
      <c r="K533" s="433">
        <f>ROUND((J533*E533),2)</f>
        <v>0</v>
      </c>
      <c r="L533" s="435">
        <f>IF(F533=0,0,K533/F533)</f>
        <v>0</v>
      </c>
      <c r="M533" s="454">
        <f t="shared" si="135"/>
        <v>155.19999999999999</v>
      </c>
      <c r="N533" s="420"/>
      <c r="O533" s="420">
        <f t="shared" si="152"/>
        <v>0</v>
      </c>
      <c r="P533" s="454"/>
      <c r="R533" s="454"/>
    </row>
    <row r="534" spans="1:18" ht="31.5" x14ac:dyDescent="0.2">
      <c r="A534" s="473"/>
      <c r="B534" s="475" t="s">
        <v>1039</v>
      </c>
      <c r="C534" s="471">
        <v>0</v>
      </c>
      <c r="D534" s="424">
        <v>0</v>
      </c>
      <c r="E534" s="424"/>
      <c r="F534" s="427"/>
      <c r="G534" s="440"/>
      <c r="H534" s="437"/>
      <c r="I534" s="431"/>
      <c r="J534" s="430"/>
      <c r="K534" s="425"/>
      <c r="L534" s="429"/>
      <c r="M534" s="454">
        <f t="shared" si="135"/>
        <v>0</v>
      </c>
      <c r="N534" s="420"/>
      <c r="O534" s="420">
        <f t="shared" si="152"/>
        <v>0</v>
      </c>
      <c r="P534" s="420"/>
      <c r="R534" s="420"/>
    </row>
    <row r="535" spans="1:18" s="402" customFormat="1" ht="15.75" x14ac:dyDescent="0.2">
      <c r="A535" s="414">
        <v>250156</v>
      </c>
      <c r="B535" s="432" t="s">
        <v>1040</v>
      </c>
      <c r="C535" s="433" t="s">
        <v>23</v>
      </c>
      <c r="D535" s="433">
        <v>2</v>
      </c>
      <c r="E535" s="433">
        <v>99.26</v>
      </c>
      <c r="F535" s="490">
        <f t="shared" ref="F535:F539" si="155">ROUND((E535*D535),2)</f>
        <v>198.52</v>
      </c>
      <c r="G535" s="483">
        <v>2</v>
      </c>
      <c r="H535" s="433">
        <v>198.52</v>
      </c>
      <c r="I535" s="435">
        <f>IF(F535=0,0,H535/F535)</f>
        <v>1</v>
      </c>
      <c r="J535" s="433">
        <f>D535-G535</f>
        <v>0</v>
      </c>
      <c r="K535" s="433">
        <f>ROUND((J535*E535),2)</f>
        <v>0</v>
      </c>
      <c r="L535" s="435">
        <f>IF(F535=0,0,K535/F535)</f>
        <v>0</v>
      </c>
      <c r="M535" s="454">
        <f t="shared" ref="M535:M598" si="156">F535-K535</f>
        <v>198.52</v>
      </c>
      <c r="N535" s="420"/>
      <c r="O535" s="420">
        <f t="shared" si="152"/>
        <v>0</v>
      </c>
      <c r="P535" s="454"/>
      <c r="R535" s="454"/>
    </row>
    <row r="536" spans="1:18" s="402" customFormat="1" ht="15.75" x14ac:dyDescent="0.2">
      <c r="A536" s="414">
        <v>250157</v>
      </c>
      <c r="B536" s="432" t="s">
        <v>1041</v>
      </c>
      <c r="C536" s="433" t="s">
        <v>23</v>
      </c>
      <c r="D536" s="433">
        <v>2</v>
      </c>
      <c r="E536" s="433">
        <v>142.4</v>
      </c>
      <c r="F536" s="490">
        <f t="shared" si="155"/>
        <v>284.8</v>
      </c>
      <c r="G536" s="483">
        <v>2</v>
      </c>
      <c r="H536" s="433">
        <v>284.8</v>
      </c>
      <c r="I536" s="435">
        <f>IF(F536=0,0,H536/F536)</f>
        <v>1</v>
      </c>
      <c r="J536" s="433">
        <f>D536-G536</f>
        <v>0</v>
      </c>
      <c r="K536" s="433">
        <f>ROUND((J536*E536),2)</f>
        <v>0</v>
      </c>
      <c r="L536" s="435">
        <f>IF(F536=0,0,K536/F536)</f>
        <v>0</v>
      </c>
      <c r="M536" s="454">
        <f t="shared" si="156"/>
        <v>284.8</v>
      </c>
      <c r="N536" s="420"/>
      <c r="O536" s="420">
        <f t="shared" si="152"/>
        <v>0</v>
      </c>
      <c r="P536" s="454"/>
      <c r="R536" s="454"/>
    </row>
    <row r="537" spans="1:18" s="402" customFormat="1" ht="15.75" x14ac:dyDescent="0.2">
      <c r="A537" s="414">
        <v>250158</v>
      </c>
      <c r="B537" s="432" t="s">
        <v>1042</v>
      </c>
      <c r="C537" s="433" t="s">
        <v>23</v>
      </c>
      <c r="D537" s="433">
        <v>2</v>
      </c>
      <c r="E537" s="433">
        <v>147.83000000000001</v>
      </c>
      <c r="F537" s="490">
        <f t="shared" si="155"/>
        <v>295.66000000000003</v>
      </c>
      <c r="G537" s="483">
        <v>2</v>
      </c>
      <c r="H537" s="433">
        <v>295.66000000000003</v>
      </c>
      <c r="I537" s="435">
        <f>IF(F537=0,0,H537/F537)</f>
        <v>1</v>
      </c>
      <c r="J537" s="433">
        <f>D537-G537</f>
        <v>0</v>
      </c>
      <c r="K537" s="433">
        <f>ROUND((J537*E537),2)</f>
        <v>0</v>
      </c>
      <c r="L537" s="435">
        <f>IF(F537=0,0,K537/F537)</f>
        <v>0</v>
      </c>
      <c r="M537" s="454">
        <f t="shared" si="156"/>
        <v>295.66000000000003</v>
      </c>
      <c r="N537" s="420"/>
      <c r="O537" s="420">
        <f t="shared" si="152"/>
        <v>0</v>
      </c>
      <c r="P537" s="454"/>
      <c r="R537" s="454"/>
    </row>
    <row r="538" spans="1:18" s="402" customFormat="1" ht="31.5" x14ac:dyDescent="0.2">
      <c r="A538" s="414">
        <v>250159</v>
      </c>
      <c r="B538" s="432" t="s">
        <v>1043</v>
      </c>
      <c r="C538" s="433" t="s">
        <v>23</v>
      </c>
      <c r="D538" s="433">
        <v>4</v>
      </c>
      <c r="E538" s="433">
        <v>246.58</v>
      </c>
      <c r="F538" s="490">
        <f t="shared" si="155"/>
        <v>986.32</v>
      </c>
      <c r="G538" s="483">
        <v>4</v>
      </c>
      <c r="H538" s="433">
        <v>986.32</v>
      </c>
      <c r="I538" s="435">
        <f>IF(F538=0,0,H538/F538)</f>
        <v>1</v>
      </c>
      <c r="J538" s="433">
        <f>D538-G538</f>
        <v>0</v>
      </c>
      <c r="K538" s="433">
        <f>ROUND((J538*E538),2)</f>
        <v>0</v>
      </c>
      <c r="L538" s="435">
        <f>IF(F538=0,0,K538/F538)</f>
        <v>0</v>
      </c>
      <c r="M538" s="454">
        <f t="shared" si="156"/>
        <v>986.32</v>
      </c>
      <c r="N538" s="420"/>
      <c r="O538" s="420">
        <f t="shared" si="152"/>
        <v>0</v>
      </c>
      <c r="P538" s="454"/>
      <c r="R538" s="454"/>
    </row>
    <row r="539" spans="1:18" s="402" customFormat="1" ht="15.75" x14ac:dyDescent="0.2">
      <c r="A539" s="414">
        <v>250160</v>
      </c>
      <c r="B539" s="432" t="s">
        <v>602</v>
      </c>
      <c r="C539" s="433" t="s">
        <v>23</v>
      </c>
      <c r="D539" s="433">
        <v>6</v>
      </c>
      <c r="E539" s="433">
        <v>115.81</v>
      </c>
      <c r="F539" s="490">
        <f t="shared" si="155"/>
        <v>694.86</v>
      </c>
      <c r="G539" s="483">
        <v>6</v>
      </c>
      <c r="H539" s="433">
        <v>694.86</v>
      </c>
      <c r="I539" s="435">
        <f>IF(F539=0,0,H539/F539)</f>
        <v>1</v>
      </c>
      <c r="J539" s="433">
        <f>D539-G539</f>
        <v>0</v>
      </c>
      <c r="K539" s="433">
        <f>ROUND((J539*E539),2)</f>
        <v>0</v>
      </c>
      <c r="L539" s="435">
        <f>IF(F539=0,0,K539/F539)</f>
        <v>0</v>
      </c>
      <c r="M539" s="454">
        <f t="shared" si="156"/>
        <v>694.86</v>
      </c>
      <c r="N539" s="420"/>
      <c r="O539" s="420">
        <f t="shared" si="152"/>
        <v>0</v>
      </c>
      <c r="P539" s="454"/>
      <c r="R539" s="454"/>
    </row>
    <row r="540" spans="1:18" ht="15.75" x14ac:dyDescent="0.2">
      <c r="A540" s="473"/>
      <c r="B540" s="475" t="s">
        <v>1044</v>
      </c>
      <c r="C540" s="471">
        <v>0</v>
      </c>
      <c r="D540" s="424">
        <v>0</v>
      </c>
      <c r="E540" s="424"/>
      <c r="F540" s="427"/>
      <c r="G540" s="440"/>
      <c r="H540" s="437"/>
      <c r="I540" s="431"/>
      <c r="J540" s="430"/>
      <c r="K540" s="425"/>
      <c r="L540" s="429"/>
      <c r="M540" s="454">
        <f t="shared" si="156"/>
        <v>0</v>
      </c>
      <c r="N540" s="420"/>
      <c r="O540" s="420">
        <f t="shared" si="152"/>
        <v>0</v>
      </c>
      <c r="P540" s="420"/>
      <c r="R540" s="420"/>
    </row>
    <row r="541" spans="1:18" s="402" customFormat="1" ht="31.5" x14ac:dyDescent="0.2">
      <c r="A541" s="414">
        <v>250161</v>
      </c>
      <c r="B541" s="432" t="s">
        <v>1045</v>
      </c>
      <c r="C541" s="433" t="s">
        <v>23</v>
      </c>
      <c r="D541" s="433">
        <v>2</v>
      </c>
      <c r="E541" s="433">
        <v>951.36</v>
      </c>
      <c r="F541" s="490">
        <f t="shared" ref="F541" si="157">ROUND((E541*D541),2)</f>
        <v>1902.72</v>
      </c>
      <c r="G541" s="483">
        <v>2</v>
      </c>
      <c r="H541" s="433">
        <v>1902.72</v>
      </c>
      <c r="I541" s="435">
        <f>IF(F541=0,0,H541/F541)</f>
        <v>1</v>
      </c>
      <c r="J541" s="433">
        <f>D541-G541</f>
        <v>0</v>
      </c>
      <c r="K541" s="433">
        <f>ROUND((J541*E541),2)</f>
        <v>0</v>
      </c>
      <c r="L541" s="435">
        <f>IF(F541=0,0,K541/F541)</f>
        <v>0</v>
      </c>
      <c r="M541" s="454">
        <f t="shared" si="156"/>
        <v>1902.72</v>
      </c>
      <c r="N541" s="420"/>
      <c r="O541" s="420">
        <f t="shared" si="152"/>
        <v>0</v>
      </c>
      <c r="P541" s="454"/>
      <c r="R541" s="454"/>
    </row>
    <row r="542" spans="1:18" ht="15.75" x14ac:dyDescent="0.2">
      <c r="A542" s="473"/>
      <c r="B542" s="475" t="s">
        <v>1046</v>
      </c>
      <c r="C542" s="471">
        <v>0</v>
      </c>
      <c r="D542" s="424">
        <v>0</v>
      </c>
      <c r="E542" s="424"/>
      <c r="F542" s="427"/>
      <c r="G542" s="440"/>
      <c r="H542" s="437"/>
      <c r="I542" s="431"/>
      <c r="J542" s="430"/>
      <c r="K542" s="425"/>
      <c r="L542" s="429"/>
      <c r="M542" s="454">
        <f t="shared" si="156"/>
        <v>0</v>
      </c>
      <c r="N542" s="420"/>
      <c r="O542" s="420">
        <f t="shared" si="152"/>
        <v>0</v>
      </c>
      <c r="P542" s="420"/>
      <c r="R542" s="420"/>
    </row>
    <row r="543" spans="1:18" s="402" customFormat="1" ht="31.5" x14ac:dyDescent="0.2">
      <c r="A543" s="414">
        <v>250162</v>
      </c>
      <c r="B543" s="432" t="s">
        <v>621</v>
      </c>
      <c r="C543" s="433" t="s">
        <v>26</v>
      </c>
      <c r="D543" s="433">
        <v>1</v>
      </c>
      <c r="E543" s="433">
        <v>41.64</v>
      </c>
      <c r="F543" s="490">
        <f t="shared" ref="F543:F546" si="158">ROUND((E543*D543),2)</f>
        <v>41.64</v>
      </c>
      <c r="G543" s="483">
        <v>1</v>
      </c>
      <c r="H543" s="433">
        <v>41.64</v>
      </c>
      <c r="I543" s="435">
        <f>IF(F543=0,0,H543/F543)</f>
        <v>1</v>
      </c>
      <c r="J543" s="433">
        <f>D543-G543</f>
        <v>0</v>
      </c>
      <c r="K543" s="433">
        <f>ROUND((J543*E543),2)</f>
        <v>0</v>
      </c>
      <c r="L543" s="435">
        <f>IF(F543=0,0,K543/F543)</f>
        <v>0</v>
      </c>
      <c r="M543" s="454">
        <f t="shared" si="156"/>
        <v>41.64</v>
      </c>
      <c r="N543" s="420"/>
      <c r="O543" s="420">
        <f t="shared" si="152"/>
        <v>0</v>
      </c>
      <c r="P543" s="454"/>
      <c r="R543" s="454"/>
    </row>
    <row r="544" spans="1:18" s="402" customFormat="1" ht="31.5" x14ac:dyDescent="0.2">
      <c r="A544" s="414">
        <v>250163</v>
      </c>
      <c r="B544" s="432" t="s">
        <v>637</v>
      </c>
      <c r="C544" s="433" t="s">
        <v>26</v>
      </c>
      <c r="D544" s="433">
        <v>9</v>
      </c>
      <c r="E544" s="433">
        <v>53.91</v>
      </c>
      <c r="F544" s="490">
        <f t="shared" si="158"/>
        <v>485.19</v>
      </c>
      <c r="G544" s="483">
        <v>9</v>
      </c>
      <c r="H544" s="433">
        <v>485.18999999999994</v>
      </c>
      <c r="I544" s="435">
        <f>IF(F544=0,0,H544/F544)</f>
        <v>0.99999999999999989</v>
      </c>
      <c r="J544" s="433">
        <f>D544-G544</f>
        <v>0</v>
      </c>
      <c r="K544" s="433">
        <f>ROUND((J544*E544),2)</f>
        <v>0</v>
      </c>
      <c r="L544" s="435">
        <f>IF(F544=0,0,K544/F544)</f>
        <v>0</v>
      </c>
      <c r="M544" s="454">
        <f t="shared" si="156"/>
        <v>485.19</v>
      </c>
      <c r="N544" s="420"/>
      <c r="O544" s="420">
        <f t="shared" si="152"/>
        <v>0</v>
      </c>
      <c r="P544" s="454"/>
      <c r="R544" s="454"/>
    </row>
    <row r="545" spans="1:18" s="402" customFormat="1" ht="31.5" x14ac:dyDescent="0.2">
      <c r="A545" s="414">
        <v>250164</v>
      </c>
      <c r="B545" s="432" t="s">
        <v>639</v>
      </c>
      <c r="C545" s="433" t="s">
        <v>26</v>
      </c>
      <c r="D545" s="433">
        <v>18.899999999999999</v>
      </c>
      <c r="E545" s="433">
        <v>98.79</v>
      </c>
      <c r="F545" s="490">
        <f t="shared" si="158"/>
        <v>1867.13</v>
      </c>
      <c r="G545" s="483">
        <v>18.899999999999999</v>
      </c>
      <c r="H545" s="433">
        <v>1867.1310000000001</v>
      </c>
      <c r="I545" s="435">
        <f>IF(F545=0,0,H545/F545)</f>
        <v>1.0000005355813468</v>
      </c>
      <c r="J545" s="433">
        <f>D545-G545</f>
        <v>0</v>
      </c>
      <c r="K545" s="433">
        <f>ROUND((J545*E545),2)</f>
        <v>0</v>
      </c>
      <c r="L545" s="435">
        <f>IF(F545=0,0,K545/F545)</f>
        <v>0</v>
      </c>
      <c r="M545" s="454">
        <f t="shared" si="156"/>
        <v>1867.13</v>
      </c>
      <c r="N545" s="420"/>
      <c r="O545" s="420">
        <f t="shared" si="152"/>
        <v>0</v>
      </c>
      <c r="P545" s="454"/>
      <c r="R545" s="454"/>
    </row>
    <row r="546" spans="1:18" s="402" customFormat="1" ht="47.25" x14ac:dyDescent="0.2">
      <c r="A546" s="414">
        <v>250165</v>
      </c>
      <c r="B546" s="432" t="s">
        <v>1047</v>
      </c>
      <c r="C546" s="433" t="s">
        <v>26</v>
      </c>
      <c r="D546" s="433">
        <v>31</v>
      </c>
      <c r="E546" s="433">
        <v>139.94999999999999</v>
      </c>
      <c r="F546" s="490">
        <f t="shared" si="158"/>
        <v>4338.45</v>
      </c>
      <c r="G546" s="483">
        <v>31</v>
      </c>
      <c r="H546" s="433">
        <v>4338.45</v>
      </c>
      <c r="I546" s="435">
        <f>IF(F546=0,0,H546/F546)</f>
        <v>1</v>
      </c>
      <c r="J546" s="433">
        <f>D546-G546</f>
        <v>0</v>
      </c>
      <c r="K546" s="433">
        <f>ROUND((J546*E546),2)</f>
        <v>0</v>
      </c>
      <c r="L546" s="435">
        <f>IF(F546=0,0,K546/F546)</f>
        <v>0</v>
      </c>
      <c r="M546" s="454">
        <f t="shared" si="156"/>
        <v>4338.45</v>
      </c>
      <c r="N546" s="420"/>
      <c r="O546" s="420">
        <f t="shared" si="152"/>
        <v>0</v>
      </c>
      <c r="P546" s="454"/>
      <c r="R546" s="454"/>
    </row>
    <row r="547" spans="1:18" ht="15.75" x14ac:dyDescent="0.2">
      <c r="A547" s="473"/>
      <c r="B547" s="475" t="s">
        <v>1048</v>
      </c>
      <c r="C547" s="471">
        <v>0</v>
      </c>
      <c r="D547" s="424">
        <v>0</v>
      </c>
      <c r="E547" s="424"/>
      <c r="F547" s="427"/>
      <c r="G547" s="440"/>
      <c r="H547" s="437"/>
      <c r="I547" s="431"/>
      <c r="J547" s="430"/>
      <c r="K547" s="425"/>
      <c r="L547" s="429"/>
      <c r="M547" s="454">
        <f t="shared" si="156"/>
        <v>0</v>
      </c>
      <c r="N547" s="420"/>
      <c r="O547" s="420">
        <f t="shared" si="152"/>
        <v>0</v>
      </c>
      <c r="P547" s="420"/>
      <c r="R547" s="420"/>
    </row>
    <row r="548" spans="1:18" s="402" customFormat="1" ht="31.5" x14ac:dyDescent="0.2">
      <c r="A548" s="414">
        <v>250166</v>
      </c>
      <c r="B548" s="432" t="s">
        <v>637</v>
      </c>
      <c r="C548" s="433" t="s">
        <v>26</v>
      </c>
      <c r="D548" s="433">
        <v>9</v>
      </c>
      <c r="E548" s="433">
        <v>53.91</v>
      </c>
      <c r="F548" s="490">
        <f t="shared" ref="F548" si="159">ROUND((E548*D548),2)</f>
        <v>485.19</v>
      </c>
      <c r="G548" s="483">
        <v>9</v>
      </c>
      <c r="H548" s="433">
        <v>485.18999999999994</v>
      </c>
      <c r="I548" s="435">
        <f>IF(F548=0,0,H548/F548)</f>
        <v>0.99999999999999989</v>
      </c>
      <c r="J548" s="433">
        <f>D548-G548</f>
        <v>0</v>
      </c>
      <c r="K548" s="433">
        <f>ROUND((J548*E548),2)</f>
        <v>0</v>
      </c>
      <c r="L548" s="435">
        <f>IF(F548=0,0,K548/F548)</f>
        <v>0</v>
      </c>
      <c r="M548" s="454">
        <f t="shared" si="156"/>
        <v>485.19</v>
      </c>
      <c r="N548" s="420"/>
      <c r="O548" s="420">
        <f t="shared" si="152"/>
        <v>0</v>
      </c>
      <c r="P548" s="454"/>
      <c r="R548" s="454"/>
    </row>
    <row r="549" spans="1:18" ht="31.5" x14ac:dyDescent="0.2">
      <c r="A549" s="473"/>
      <c r="B549" s="475" t="s">
        <v>1049</v>
      </c>
      <c r="C549" s="471">
        <v>0</v>
      </c>
      <c r="D549" s="424">
        <v>0</v>
      </c>
      <c r="E549" s="424"/>
      <c r="F549" s="427"/>
      <c r="G549" s="440"/>
      <c r="H549" s="437"/>
      <c r="I549" s="431"/>
      <c r="J549" s="430"/>
      <c r="K549" s="425"/>
      <c r="L549" s="429"/>
      <c r="M549" s="454">
        <f t="shared" si="156"/>
        <v>0</v>
      </c>
      <c r="N549" s="420"/>
      <c r="O549" s="420">
        <f t="shared" si="152"/>
        <v>0</v>
      </c>
      <c r="P549" s="420"/>
      <c r="R549" s="420"/>
    </row>
    <row r="550" spans="1:18" s="402" customFormat="1" ht="78.75" x14ac:dyDescent="0.2">
      <c r="A550" s="414">
        <v>250167</v>
      </c>
      <c r="B550" s="432" t="s">
        <v>1050</v>
      </c>
      <c r="C550" s="433" t="s">
        <v>23</v>
      </c>
      <c r="D550" s="433">
        <v>4</v>
      </c>
      <c r="E550" s="433">
        <v>705.63</v>
      </c>
      <c r="F550" s="490">
        <f t="shared" ref="F550:F551" si="160">ROUND((E550*D550),2)</f>
        <v>2822.52</v>
      </c>
      <c r="G550" s="483">
        <v>4</v>
      </c>
      <c r="H550" s="433">
        <v>2822.52</v>
      </c>
      <c r="I550" s="435">
        <f>IF(F550=0,0,H550/F550)</f>
        <v>1</v>
      </c>
      <c r="J550" s="433">
        <f>D550-G550</f>
        <v>0</v>
      </c>
      <c r="K550" s="433">
        <f>ROUND((J550*E550),2)</f>
        <v>0</v>
      </c>
      <c r="L550" s="435">
        <f>IF(F550=0,0,K550/F550)</f>
        <v>0</v>
      </c>
      <c r="M550" s="454">
        <f t="shared" si="156"/>
        <v>2822.52</v>
      </c>
      <c r="N550" s="420"/>
      <c r="O550" s="420">
        <f t="shared" si="152"/>
        <v>0</v>
      </c>
      <c r="P550" s="454"/>
      <c r="R550" s="454"/>
    </row>
    <row r="551" spans="1:18" s="402" customFormat="1" ht="47.25" x14ac:dyDescent="0.2">
      <c r="A551" s="414">
        <v>250168</v>
      </c>
      <c r="B551" s="432" t="s">
        <v>1051</v>
      </c>
      <c r="C551" s="433" t="s">
        <v>23</v>
      </c>
      <c r="D551" s="433">
        <v>6</v>
      </c>
      <c r="E551" s="433">
        <v>889.36</v>
      </c>
      <c r="F551" s="490">
        <f t="shared" si="160"/>
        <v>5336.16</v>
      </c>
      <c r="G551" s="483">
        <v>6</v>
      </c>
      <c r="H551" s="433">
        <v>5336.16</v>
      </c>
      <c r="I551" s="435">
        <f>IF(F551=0,0,H551/F551)</f>
        <v>1</v>
      </c>
      <c r="J551" s="433">
        <f>D551-G551</f>
        <v>0</v>
      </c>
      <c r="K551" s="433">
        <f>ROUND((J551*E551),2)</f>
        <v>0</v>
      </c>
      <c r="L551" s="435">
        <f>IF(F551=0,0,K551/F551)</f>
        <v>0</v>
      </c>
      <c r="M551" s="454">
        <f t="shared" si="156"/>
        <v>5336.16</v>
      </c>
      <c r="N551" s="420"/>
      <c r="O551" s="420">
        <f t="shared" si="152"/>
        <v>0</v>
      </c>
      <c r="P551" s="454"/>
      <c r="R551" s="454"/>
    </row>
    <row r="552" spans="1:18" ht="15.75" x14ac:dyDescent="0.2">
      <c r="A552" s="473"/>
      <c r="B552" s="475" t="s">
        <v>1052</v>
      </c>
      <c r="C552" s="471">
        <v>0</v>
      </c>
      <c r="D552" s="424">
        <v>0</v>
      </c>
      <c r="E552" s="424"/>
      <c r="F552" s="427"/>
      <c r="G552" s="440"/>
      <c r="H552" s="437"/>
      <c r="I552" s="431"/>
      <c r="J552" s="430"/>
      <c r="K552" s="425"/>
      <c r="L552" s="429"/>
      <c r="M552" s="454">
        <f t="shared" si="156"/>
        <v>0</v>
      </c>
      <c r="N552" s="420"/>
      <c r="O552" s="420">
        <f t="shared" si="152"/>
        <v>0</v>
      </c>
      <c r="P552" s="420"/>
      <c r="R552" s="420"/>
    </row>
    <row r="553" spans="1:18" s="402" customFormat="1" ht="31.5" x14ac:dyDescent="0.2">
      <c r="A553" s="414">
        <v>250169</v>
      </c>
      <c r="B553" s="432" t="s">
        <v>1053</v>
      </c>
      <c r="C553" s="433" t="s">
        <v>23</v>
      </c>
      <c r="D553" s="433">
        <v>4</v>
      </c>
      <c r="E553" s="433">
        <v>151.71</v>
      </c>
      <c r="F553" s="490">
        <f t="shared" ref="F553:F557" si="161">ROUND((E553*D553),2)</f>
        <v>606.84</v>
      </c>
      <c r="G553" s="483">
        <v>4</v>
      </c>
      <c r="H553" s="433">
        <v>606.84</v>
      </c>
      <c r="I553" s="435">
        <f>IF(F553=0,0,H553/F553)</f>
        <v>1</v>
      </c>
      <c r="J553" s="433">
        <f>D553-G553</f>
        <v>0</v>
      </c>
      <c r="K553" s="433">
        <f>ROUND((J553*E553),2)</f>
        <v>0</v>
      </c>
      <c r="L553" s="435">
        <f>IF(F553=0,0,K553/F553)</f>
        <v>0</v>
      </c>
      <c r="M553" s="454">
        <f t="shared" si="156"/>
        <v>606.84</v>
      </c>
      <c r="N553" s="420"/>
      <c r="O553" s="420">
        <f t="shared" si="152"/>
        <v>0</v>
      </c>
      <c r="P553" s="454"/>
      <c r="R553" s="454"/>
    </row>
    <row r="554" spans="1:18" s="402" customFormat="1" ht="31.5" x14ac:dyDescent="0.2">
      <c r="A554" s="414">
        <v>250170</v>
      </c>
      <c r="B554" s="432" t="s">
        <v>1054</v>
      </c>
      <c r="C554" s="433" t="s">
        <v>23</v>
      </c>
      <c r="D554" s="433">
        <v>4</v>
      </c>
      <c r="E554" s="433">
        <v>50.24</v>
      </c>
      <c r="F554" s="490">
        <f t="shared" si="161"/>
        <v>200.96</v>
      </c>
      <c r="G554" s="483">
        <v>4</v>
      </c>
      <c r="H554" s="433">
        <v>200.96</v>
      </c>
      <c r="I554" s="435">
        <f>IF(F554=0,0,H554/F554)</f>
        <v>1</v>
      </c>
      <c r="J554" s="433">
        <f>D554-G554</f>
        <v>0</v>
      </c>
      <c r="K554" s="433">
        <f>ROUND((J554*E554),2)</f>
        <v>0</v>
      </c>
      <c r="L554" s="435">
        <f>IF(F554=0,0,K554/F554)</f>
        <v>0</v>
      </c>
      <c r="M554" s="454">
        <f t="shared" si="156"/>
        <v>200.96</v>
      </c>
      <c r="N554" s="420"/>
      <c r="O554" s="420">
        <f t="shared" si="152"/>
        <v>0</v>
      </c>
      <c r="P554" s="454"/>
      <c r="R554" s="454"/>
    </row>
    <row r="555" spans="1:18" s="402" customFormat="1" ht="31.5" x14ac:dyDescent="0.2">
      <c r="A555" s="414">
        <v>250171</v>
      </c>
      <c r="B555" s="432" t="s">
        <v>1055</v>
      </c>
      <c r="C555" s="433" t="s">
        <v>23</v>
      </c>
      <c r="D555" s="433">
        <v>2</v>
      </c>
      <c r="E555" s="433">
        <v>1415.76</v>
      </c>
      <c r="F555" s="490">
        <f t="shared" si="161"/>
        <v>2831.52</v>
      </c>
      <c r="G555" s="483">
        <v>0</v>
      </c>
      <c r="H555" s="433">
        <v>0</v>
      </c>
      <c r="I555" s="435">
        <f>IF(F555=0,0,H555/F555)</f>
        <v>0</v>
      </c>
      <c r="J555" s="433">
        <f>D555-G555</f>
        <v>2</v>
      </c>
      <c r="K555" s="433">
        <f>ROUND((J555*E555),2)</f>
        <v>2831.52</v>
      </c>
      <c r="L555" s="435">
        <f>IF(F555=0,0,K555/F555)</f>
        <v>1</v>
      </c>
      <c r="M555" s="454">
        <f t="shared" si="156"/>
        <v>0</v>
      </c>
      <c r="N555" s="420"/>
      <c r="O555" s="420">
        <f t="shared" si="152"/>
        <v>2831.52</v>
      </c>
      <c r="P555" s="454"/>
      <c r="R555" s="454"/>
    </row>
    <row r="556" spans="1:18" s="402" customFormat="1" ht="15.75" x14ac:dyDescent="0.2">
      <c r="A556" s="414">
        <v>250172</v>
      </c>
      <c r="B556" s="432" t="s">
        <v>607</v>
      </c>
      <c r="C556" s="433" t="s">
        <v>23</v>
      </c>
      <c r="D556" s="433">
        <v>2</v>
      </c>
      <c r="E556" s="433">
        <v>157.05000000000001</v>
      </c>
      <c r="F556" s="490">
        <f t="shared" si="161"/>
        <v>314.10000000000002</v>
      </c>
      <c r="G556" s="483">
        <v>2</v>
      </c>
      <c r="H556" s="433">
        <v>314.10000000000002</v>
      </c>
      <c r="I556" s="435">
        <f>IF(F556=0,0,H556/F556)</f>
        <v>1</v>
      </c>
      <c r="J556" s="433">
        <f>D556-G556</f>
        <v>0</v>
      </c>
      <c r="K556" s="433">
        <f>ROUND((J556*E556),2)</f>
        <v>0</v>
      </c>
      <c r="L556" s="435">
        <f>IF(F556=0,0,K556/F556)</f>
        <v>0</v>
      </c>
      <c r="M556" s="454">
        <f t="shared" si="156"/>
        <v>314.10000000000002</v>
      </c>
      <c r="N556" s="420"/>
      <c r="O556" s="420">
        <f t="shared" si="152"/>
        <v>0</v>
      </c>
      <c r="P556" s="454"/>
      <c r="R556" s="454"/>
    </row>
    <row r="557" spans="1:18" s="402" customFormat="1" ht="31.5" x14ac:dyDescent="0.2">
      <c r="A557" s="414">
        <v>250173</v>
      </c>
      <c r="B557" s="432" t="s">
        <v>609</v>
      </c>
      <c r="C557" s="433" t="s">
        <v>23</v>
      </c>
      <c r="D557" s="433">
        <v>4</v>
      </c>
      <c r="E557" s="433">
        <v>111.56</v>
      </c>
      <c r="F557" s="490">
        <f t="shared" si="161"/>
        <v>446.24</v>
      </c>
      <c r="G557" s="483">
        <v>4</v>
      </c>
      <c r="H557" s="433">
        <v>446.24</v>
      </c>
      <c r="I557" s="435">
        <f>IF(F557=0,0,H557/F557)</f>
        <v>1</v>
      </c>
      <c r="J557" s="433">
        <f>D557-G557</f>
        <v>0</v>
      </c>
      <c r="K557" s="433">
        <f>ROUND((J557*E557),2)</f>
        <v>0</v>
      </c>
      <c r="L557" s="435">
        <f>IF(F557=0,0,K557/F557)</f>
        <v>0</v>
      </c>
      <c r="M557" s="454">
        <f t="shared" si="156"/>
        <v>446.24</v>
      </c>
      <c r="N557" s="420"/>
      <c r="O557" s="420">
        <f t="shared" si="152"/>
        <v>0</v>
      </c>
      <c r="P557" s="454"/>
      <c r="R557" s="454"/>
    </row>
    <row r="558" spans="1:18" ht="15.75" x14ac:dyDescent="0.2">
      <c r="A558" s="473"/>
      <c r="B558" s="475" t="s">
        <v>1056</v>
      </c>
      <c r="C558" s="471">
        <v>0</v>
      </c>
      <c r="D558" s="424">
        <v>0</v>
      </c>
      <c r="E558" s="424"/>
      <c r="F558" s="427"/>
      <c r="G558" s="440"/>
      <c r="H558" s="437"/>
      <c r="I558" s="431"/>
      <c r="J558" s="430"/>
      <c r="K558" s="425"/>
      <c r="L558" s="429"/>
      <c r="M558" s="454">
        <f t="shared" si="156"/>
        <v>0</v>
      </c>
      <c r="N558" s="420"/>
      <c r="O558" s="420">
        <f t="shared" si="152"/>
        <v>0</v>
      </c>
      <c r="P558" s="420"/>
      <c r="R558" s="420"/>
    </row>
    <row r="559" spans="1:18" s="402" customFormat="1" ht="31.5" x14ac:dyDescent="0.2">
      <c r="A559" s="414">
        <v>250174</v>
      </c>
      <c r="B559" s="432" t="s">
        <v>619</v>
      </c>
      <c r="C559" s="433" t="s">
        <v>26</v>
      </c>
      <c r="D559" s="433">
        <v>4</v>
      </c>
      <c r="E559" s="433">
        <v>28.51</v>
      </c>
      <c r="F559" s="490">
        <f t="shared" ref="F559" si="162">ROUND((E559*D559),2)</f>
        <v>114.04</v>
      </c>
      <c r="G559" s="483">
        <v>4</v>
      </c>
      <c r="H559" s="433">
        <v>114.04</v>
      </c>
      <c r="I559" s="435">
        <f>IF(F559=0,0,H559/F559)</f>
        <v>1</v>
      </c>
      <c r="J559" s="433">
        <f>D559-G559</f>
        <v>0</v>
      </c>
      <c r="K559" s="433">
        <f>ROUND((J559*E559),2)</f>
        <v>0</v>
      </c>
      <c r="L559" s="435">
        <f>IF(F559=0,0,K559/F559)</f>
        <v>0</v>
      </c>
      <c r="M559" s="454">
        <f t="shared" si="156"/>
        <v>114.04</v>
      </c>
      <c r="N559" s="420"/>
      <c r="O559" s="420">
        <f t="shared" si="152"/>
        <v>0</v>
      </c>
      <c r="P559" s="454"/>
      <c r="R559" s="454"/>
    </row>
    <row r="560" spans="1:18" ht="15.75" x14ac:dyDescent="0.2">
      <c r="A560" s="473"/>
      <c r="B560" s="475" t="s">
        <v>662</v>
      </c>
      <c r="C560" s="471">
        <v>0</v>
      </c>
      <c r="D560" s="424">
        <v>0</v>
      </c>
      <c r="E560" s="424"/>
      <c r="F560" s="427"/>
      <c r="G560" s="440"/>
      <c r="H560" s="437"/>
      <c r="I560" s="431"/>
      <c r="J560" s="430"/>
      <c r="K560" s="425"/>
      <c r="L560" s="429"/>
      <c r="M560" s="454">
        <f t="shared" si="156"/>
        <v>0</v>
      </c>
      <c r="N560" s="420"/>
      <c r="O560" s="420">
        <f t="shared" si="152"/>
        <v>0</v>
      </c>
      <c r="P560" s="420"/>
      <c r="R560" s="420"/>
    </row>
    <row r="561" spans="1:18" ht="15.75" x14ac:dyDescent="0.2">
      <c r="A561" s="473"/>
      <c r="B561" s="475" t="s">
        <v>1057</v>
      </c>
      <c r="C561" s="471">
        <v>0</v>
      </c>
      <c r="D561" s="424">
        <v>0</v>
      </c>
      <c r="E561" s="424"/>
      <c r="F561" s="427"/>
      <c r="G561" s="440"/>
      <c r="H561" s="437"/>
      <c r="I561" s="431"/>
      <c r="J561" s="430"/>
      <c r="K561" s="425"/>
      <c r="L561" s="429"/>
      <c r="M561" s="454">
        <f t="shared" si="156"/>
        <v>0</v>
      </c>
      <c r="N561" s="420"/>
      <c r="O561" s="420">
        <f t="shared" si="152"/>
        <v>0</v>
      </c>
      <c r="P561" s="420"/>
      <c r="R561" s="420"/>
    </row>
    <row r="562" spans="1:18" s="402" customFormat="1" ht="31.5" x14ac:dyDescent="0.2">
      <c r="A562" s="414">
        <v>250175</v>
      </c>
      <c r="B562" s="432" t="s">
        <v>1058</v>
      </c>
      <c r="C562" s="433" t="s">
        <v>23</v>
      </c>
      <c r="D562" s="433">
        <v>2</v>
      </c>
      <c r="E562" s="433">
        <v>763.07</v>
      </c>
      <c r="F562" s="490">
        <f t="shared" ref="F562" si="163">ROUND((E562*D562),2)</f>
        <v>1526.14</v>
      </c>
      <c r="G562" s="483">
        <v>2</v>
      </c>
      <c r="H562" s="433">
        <v>1526.14</v>
      </c>
      <c r="I562" s="435">
        <f>IF(F562=0,0,H562/F562)</f>
        <v>1</v>
      </c>
      <c r="J562" s="433">
        <f>D562-G562</f>
        <v>0</v>
      </c>
      <c r="K562" s="433">
        <f>ROUND((J562*E562),2)</f>
        <v>0</v>
      </c>
      <c r="L562" s="435">
        <f>IF(F562=0,0,K562/F562)</f>
        <v>0</v>
      </c>
      <c r="M562" s="454">
        <f t="shared" si="156"/>
        <v>1526.14</v>
      </c>
      <c r="N562" s="420"/>
      <c r="O562" s="420">
        <f t="shared" si="152"/>
        <v>0</v>
      </c>
      <c r="P562" s="454"/>
      <c r="R562" s="454"/>
    </row>
    <row r="563" spans="1:18" ht="15.75" x14ac:dyDescent="0.2">
      <c r="A563" s="473"/>
      <c r="B563" s="474" t="s">
        <v>1059</v>
      </c>
      <c r="C563" s="471">
        <v>0</v>
      </c>
      <c r="D563" s="424">
        <v>0</v>
      </c>
      <c r="E563" s="424"/>
      <c r="F563" s="427"/>
      <c r="G563" s="440"/>
      <c r="H563" s="437"/>
      <c r="I563" s="431"/>
      <c r="J563" s="430"/>
      <c r="K563" s="425"/>
      <c r="L563" s="429"/>
      <c r="M563" s="454">
        <f t="shared" si="156"/>
        <v>0</v>
      </c>
      <c r="N563" s="420"/>
      <c r="O563" s="420">
        <f t="shared" si="152"/>
        <v>0</v>
      </c>
      <c r="P563" s="420"/>
      <c r="R563" s="420"/>
    </row>
    <row r="564" spans="1:18" s="402" customFormat="1" ht="31.5" x14ac:dyDescent="0.2">
      <c r="A564" s="414">
        <v>250176</v>
      </c>
      <c r="B564" s="432" t="s">
        <v>1060</v>
      </c>
      <c r="C564" s="433" t="s">
        <v>23</v>
      </c>
      <c r="D564" s="433">
        <v>34</v>
      </c>
      <c r="E564" s="433">
        <v>15.01</v>
      </c>
      <c r="F564" s="490">
        <f t="shared" ref="F564:F566" si="164">ROUND((E564*D564),2)</f>
        <v>510.34</v>
      </c>
      <c r="G564" s="483">
        <v>34</v>
      </c>
      <c r="H564" s="433">
        <v>510.34</v>
      </c>
      <c r="I564" s="435">
        <f>IF(F564=0,0,H564/F564)</f>
        <v>1</v>
      </c>
      <c r="J564" s="433">
        <f>D564-G564</f>
        <v>0</v>
      </c>
      <c r="K564" s="433">
        <f>ROUND((J564*E564),2)</f>
        <v>0</v>
      </c>
      <c r="L564" s="435">
        <f>IF(F564=0,0,K564/F564)</f>
        <v>0</v>
      </c>
      <c r="M564" s="454">
        <f t="shared" si="156"/>
        <v>510.34</v>
      </c>
      <c r="N564" s="420"/>
      <c r="O564" s="420">
        <f t="shared" si="152"/>
        <v>0</v>
      </c>
      <c r="P564" s="454"/>
      <c r="R564" s="454"/>
    </row>
    <row r="565" spans="1:18" s="402" customFormat="1" ht="15.75" x14ac:dyDescent="0.2">
      <c r="A565" s="414">
        <v>250177</v>
      </c>
      <c r="B565" s="432" t="s">
        <v>666</v>
      </c>
      <c r="C565" s="433" t="s">
        <v>23</v>
      </c>
      <c r="D565" s="433">
        <v>42</v>
      </c>
      <c r="E565" s="433">
        <v>11</v>
      </c>
      <c r="F565" s="490">
        <f t="shared" si="164"/>
        <v>462</v>
      </c>
      <c r="G565" s="483">
        <v>42</v>
      </c>
      <c r="H565" s="433">
        <v>462</v>
      </c>
      <c r="I565" s="435">
        <f>IF(F565=0,0,H565/F565)</f>
        <v>1</v>
      </c>
      <c r="J565" s="433">
        <f>D565-G565</f>
        <v>0</v>
      </c>
      <c r="K565" s="433">
        <f>ROUND((J565*E565),2)</f>
        <v>0</v>
      </c>
      <c r="L565" s="435">
        <f>IF(F565=0,0,K565/F565)</f>
        <v>0</v>
      </c>
      <c r="M565" s="454">
        <f t="shared" si="156"/>
        <v>462</v>
      </c>
      <c r="N565" s="420"/>
      <c r="O565" s="420">
        <f t="shared" si="152"/>
        <v>0</v>
      </c>
      <c r="P565" s="454"/>
      <c r="R565" s="454"/>
    </row>
    <row r="566" spans="1:18" s="402" customFormat="1" ht="31.5" x14ac:dyDescent="0.2">
      <c r="A566" s="414">
        <v>250178</v>
      </c>
      <c r="B566" s="432" t="s">
        <v>1061</v>
      </c>
      <c r="C566" s="433" t="s">
        <v>23</v>
      </c>
      <c r="D566" s="433">
        <v>2</v>
      </c>
      <c r="E566" s="433">
        <v>178.07</v>
      </c>
      <c r="F566" s="490">
        <f t="shared" si="164"/>
        <v>356.14</v>
      </c>
      <c r="G566" s="483">
        <v>2</v>
      </c>
      <c r="H566" s="433">
        <v>356.14</v>
      </c>
      <c r="I566" s="435">
        <f>IF(F566=0,0,H566/F566)</f>
        <v>1</v>
      </c>
      <c r="J566" s="433">
        <f>D566-G566</f>
        <v>0</v>
      </c>
      <c r="K566" s="433">
        <f>ROUND((J566*E566),2)</f>
        <v>0</v>
      </c>
      <c r="L566" s="435">
        <f>IF(F566=0,0,K566/F566)</f>
        <v>0</v>
      </c>
      <c r="M566" s="454">
        <f t="shared" si="156"/>
        <v>356.14</v>
      </c>
      <c r="N566" s="420"/>
      <c r="O566" s="420">
        <f t="shared" si="152"/>
        <v>0</v>
      </c>
      <c r="P566" s="454"/>
      <c r="R566" s="454"/>
    </row>
    <row r="567" spans="1:18" ht="15.75" x14ac:dyDescent="0.2">
      <c r="A567" s="473"/>
      <c r="B567" s="475" t="s">
        <v>1062</v>
      </c>
      <c r="C567" s="471">
        <v>0</v>
      </c>
      <c r="D567" s="424">
        <v>0</v>
      </c>
      <c r="E567" s="424"/>
      <c r="F567" s="427"/>
      <c r="G567" s="440"/>
      <c r="H567" s="437"/>
      <c r="I567" s="431"/>
      <c r="J567" s="430"/>
      <c r="K567" s="425"/>
      <c r="L567" s="429"/>
      <c r="M567" s="454">
        <f t="shared" si="156"/>
        <v>0</v>
      </c>
      <c r="N567" s="420"/>
      <c r="O567" s="420">
        <f t="shared" si="152"/>
        <v>0</v>
      </c>
      <c r="P567" s="420"/>
      <c r="R567" s="420"/>
    </row>
    <row r="568" spans="1:18" s="402" customFormat="1" ht="31.5" x14ac:dyDescent="0.2">
      <c r="A568" s="414">
        <v>250179</v>
      </c>
      <c r="B568" s="432" t="s">
        <v>672</v>
      </c>
      <c r="C568" s="433" t="s">
        <v>26</v>
      </c>
      <c r="D568" s="433">
        <v>348</v>
      </c>
      <c r="E568" s="433">
        <v>19.25</v>
      </c>
      <c r="F568" s="490">
        <f t="shared" ref="F568:F570" si="165">ROUND((E568*D568),2)</f>
        <v>6699</v>
      </c>
      <c r="G568" s="483">
        <v>348</v>
      </c>
      <c r="H568" s="433">
        <v>6699</v>
      </c>
      <c r="I568" s="435">
        <f>IF(F568=0,0,H568/F568)</f>
        <v>1</v>
      </c>
      <c r="J568" s="433">
        <f>D568-G568</f>
        <v>0</v>
      </c>
      <c r="K568" s="433">
        <f>ROUND((J568*E568),2)</f>
        <v>0</v>
      </c>
      <c r="L568" s="435">
        <f>IF(F568=0,0,K568/F568)</f>
        <v>0</v>
      </c>
      <c r="M568" s="454">
        <f t="shared" si="156"/>
        <v>6699</v>
      </c>
      <c r="N568" s="420"/>
      <c r="O568" s="420">
        <f t="shared" si="152"/>
        <v>0</v>
      </c>
      <c r="P568" s="454"/>
      <c r="R568" s="454"/>
    </row>
    <row r="569" spans="1:18" s="402" customFormat="1" ht="31.5" x14ac:dyDescent="0.2">
      <c r="A569" s="414">
        <v>250180</v>
      </c>
      <c r="B569" s="432" t="s">
        <v>674</v>
      </c>
      <c r="C569" s="433" t="s">
        <v>26</v>
      </c>
      <c r="D569" s="433">
        <v>40</v>
      </c>
      <c r="E569" s="433">
        <v>28.66</v>
      </c>
      <c r="F569" s="490">
        <f t="shared" si="165"/>
        <v>1146.4000000000001</v>
      </c>
      <c r="G569" s="483">
        <v>40</v>
      </c>
      <c r="H569" s="433">
        <v>1146.4000000000001</v>
      </c>
      <c r="I569" s="435">
        <f>IF(F569=0,0,H569/F569)</f>
        <v>1</v>
      </c>
      <c r="J569" s="433">
        <f>D569-G569</f>
        <v>0</v>
      </c>
      <c r="K569" s="433">
        <f>ROUND((J569*E569),2)</f>
        <v>0</v>
      </c>
      <c r="L569" s="435">
        <f>IF(F569=0,0,K569/F569)</f>
        <v>0</v>
      </c>
      <c r="M569" s="454">
        <f t="shared" si="156"/>
        <v>1146.4000000000001</v>
      </c>
      <c r="N569" s="420"/>
      <c r="O569" s="420">
        <f t="shared" si="152"/>
        <v>0</v>
      </c>
      <c r="P569" s="454"/>
      <c r="R569" s="454"/>
    </row>
    <row r="570" spans="1:18" s="402" customFormat="1" ht="31.5" x14ac:dyDescent="0.2">
      <c r="A570" s="414">
        <v>250181</v>
      </c>
      <c r="B570" s="432" t="s">
        <v>679</v>
      </c>
      <c r="C570" s="433" t="s">
        <v>26</v>
      </c>
      <c r="D570" s="433">
        <v>120</v>
      </c>
      <c r="E570" s="433">
        <v>52.04</v>
      </c>
      <c r="F570" s="490">
        <f t="shared" si="165"/>
        <v>6244.8</v>
      </c>
      <c r="G570" s="483">
        <v>120</v>
      </c>
      <c r="H570" s="433">
        <v>6244.8</v>
      </c>
      <c r="I570" s="435">
        <f>IF(F570=0,0,H570/F570)</f>
        <v>1</v>
      </c>
      <c r="J570" s="433">
        <f>D570-G570</f>
        <v>0</v>
      </c>
      <c r="K570" s="433">
        <f>ROUND((J570*E570),2)</f>
        <v>0</v>
      </c>
      <c r="L570" s="435">
        <f>IF(F570=0,0,K570/F570)</f>
        <v>0</v>
      </c>
      <c r="M570" s="454">
        <f t="shared" si="156"/>
        <v>6244.8</v>
      </c>
      <c r="N570" s="420"/>
      <c r="O570" s="420">
        <f t="shared" si="152"/>
        <v>0</v>
      </c>
      <c r="P570" s="454"/>
      <c r="R570" s="454"/>
    </row>
    <row r="571" spans="1:18" ht="15.75" x14ac:dyDescent="0.2">
      <c r="A571" s="473"/>
      <c r="B571" s="475" t="s">
        <v>1063</v>
      </c>
      <c r="C571" s="471">
        <v>0</v>
      </c>
      <c r="D571" s="424">
        <v>0</v>
      </c>
      <c r="E571" s="424"/>
      <c r="F571" s="427"/>
      <c r="G571" s="440"/>
      <c r="H571" s="437"/>
      <c r="I571" s="431"/>
      <c r="J571" s="430"/>
      <c r="K571" s="425"/>
      <c r="L571" s="429"/>
      <c r="M571" s="454">
        <f t="shared" si="156"/>
        <v>0</v>
      </c>
      <c r="N571" s="420"/>
      <c r="O571" s="420">
        <f t="shared" si="152"/>
        <v>0</v>
      </c>
      <c r="P571" s="420"/>
      <c r="R571" s="420"/>
    </row>
    <row r="572" spans="1:18" s="402" customFormat="1" ht="31.5" x14ac:dyDescent="0.2">
      <c r="A572" s="414">
        <v>250182</v>
      </c>
      <c r="B572" s="432" t="s">
        <v>1064</v>
      </c>
      <c r="C572" s="433" t="s">
        <v>23</v>
      </c>
      <c r="D572" s="433">
        <v>12</v>
      </c>
      <c r="E572" s="433">
        <v>26.99</v>
      </c>
      <c r="F572" s="490">
        <f t="shared" ref="F572:F577" si="166">ROUND((E572*D572),2)</f>
        <v>323.88</v>
      </c>
      <c r="G572" s="483">
        <v>12</v>
      </c>
      <c r="H572" s="433">
        <v>323.88</v>
      </c>
      <c r="I572" s="435">
        <f t="shared" ref="I572:I577" si="167">IF(F572=0,0,H572/F572)</f>
        <v>1</v>
      </c>
      <c r="J572" s="433">
        <f t="shared" ref="J572:J577" si="168">D572-G572</f>
        <v>0</v>
      </c>
      <c r="K572" s="433">
        <f t="shared" ref="K572:K577" si="169">ROUND((J572*E572),2)</f>
        <v>0</v>
      </c>
      <c r="L572" s="435">
        <f t="shared" ref="L572:L577" si="170">IF(F572=0,0,K572/F572)</f>
        <v>0</v>
      </c>
      <c r="M572" s="454">
        <f t="shared" si="156"/>
        <v>323.88</v>
      </c>
      <c r="N572" s="420"/>
      <c r="O572" s="420">
        <f t="shared" si="152"/>
        <v>0</v>
      </c>
      <c r="P572" s="454"/>
      <c r="R572" s="454"/>
    </row>
    <row r="573" spans="1:18" s="402" customFormat="1" ht="31.5" x14ac:dyDescent="0.2">
      <c r="A573" s="414">
        <v>250183</v>
      </c>
      <c r="B573" s="432" t="s">
        <v>1065</v>
      </c>
      <c r="C573" s="433" t="s">
        <v>23</v>
      </c>
      <c r="D573" s="433">
        <v>8</v>
      </c>
      <c r="E573" s="433">
        <v>26.99</v>
      </c>
      <c r="F573" s="490">
        <f t="shared" si="166"/>
        <v>215.92</v>
      </c>
      <c r="G573" s="483">
        <v>8</v>
      </c>
      <c r="H573" s="433">
        <v>215.92</v>
      </c>
      <c r="I573" s="435">
        <f t="shared" si="167"/>
        <v>1</v>
      </c>
      <c r="J573" s="433">
        <f t="shared" si="168"/>
        <v>0</v>
      </c>
      <c r="K573" s="433">
        <f t="shared" si="169"/>
        <v>0</v>
      </c>
      <c r="L573" s="435">
        <f t="shared" si="170"/>
        <v>0</v>
      </c>
      <c r="M573" s="454">
        <f t="shared" si="156"/>
        <v>215.92</v>
      </c>
      <c r="N573" s="420"/>
      <c r="O573" s="420">
        <f t="shared" si="152"/>
        <v>0</v>
      </c>
      <c r="P573" s="454"/>
      <c r="R573" s="454"/>
    </row>
    <row r="574" spans="1:18" s="402" customFormat="1" ht="31.5" x14ac:dyDescent="0.2">
      <c r="A574" s="414">
        <v>250184</v>
      </c>
      <c r="B574" s="432" t="s">
        <v>1066</v>
      </c>
      <c r="C574" s="433" t="s">
        <v>23</v>
      </c>
      <c r="D574" s="433">
        <v>2</v>
      </c>
      <c r="E574" s="433">
        <v>80.180000000000007</v>
      </c>
      <c r="F574" s="490">
        <f t="shared" si="166"/>
        <v>160.36000000000001</v>
      </c>
      <c r="G574" s="483">
        <v>2</v>
      </c>
      <c r="H574" s="433">
        <v>160.36000000000001</v>
      </c>
      <c r="I574" s="435">
        <f t="shared" si="167"/>
        <v>1</v>
      </c>
      <c r="J574" s="433">
        <f t="shared" si="168"/>
        <v>0</v>
      </c>
      <c r="K574" s="433">
        <f t="shared" si="169"/>
        <v>0</v>
      </c>
      <c r="L574" s="435">
        <f t="shared" si="170"/>
        <v>0</v>
      </c>
      <c r="M574" s="454">
        <f t="shared" si="156"/>
        <v>160.36000000000001</v>
      </c>
      <c r="N574" s="420"/>
      <c r="O574" s="420">
        <f t="shared" si="152"/>
        <v>0</v>
      </c>
      <c r="P574" s="454"/>
      <c r="R574" s="454"/>
    </row>
    <row r="575" spans="1:18" s="402" customFormat="1" ht="31.5" x14ac:dyDescent="0.2">
      <c r="A575" s="414">
        <v>250185</v>
      </c>
      <c r="B575" s="432" t="s">
        <v>1067</v>
      </c>
      <c r="C575" s="433" t="s">
        <v>23</v>
      </c>
      <c r="D575" s="433">
        <v>4</v>
      </c>
      <c r="E575" s="433">
        <v>29.4</v>
      </c>
      <c r="F575" s="490">
        <f t="shared" si="166"/>
        <v>117.6</v>
      </c>
      <c r="G575" s="483">
        <v>4</v>
      </c>
      <c r="H575" s="433">
        <v>117.6</v>
      </c>
      <c r="I575" s="435">
        <f t="shared" si="167"/>
        <v>1</v>
      </c>
      <c r="J575" s="433">
        <f t="shared" si="168"/>
        <v>0</v>
      </c>
      <c r="K575" s="433">
        <f t="shared" si="169"/>
        <v>0</v>
      </c>
      <c r="L575" s="435">
        <f t="shared" si="170"/>
        <v>0</v>
      </c>
      <c r="M575" s="454">
        <f t="shared" si="156"/>
        <v>117.6</v>
      </c>
      <c r="N575" s="420"/>
      <c r="O575" s="420">
        <f t="shared" si="152"/>
        <v>0</v>
      </c>
      <c r="P575" s="454"/>
      <c r="R575" s="454"/>
    </row>
    <row r="576" spans="1:18" s="402" customFormat="1" ht="31.5" x14ac:dyDescent="0.2">
      <c r="A576" s="414">
        <v>250186</v>
      </c>
      <c r="B576" s="432" t="s">
        <v>1068</v>
      </c>
      <c r="C576" s="433" t="s">
        <v>23</v>
      </c>
      <c r="D576" s="433">
        <v>2</v>
      </c>
      <c r="E576" s="433">
        <v>137.46</v>
      </c>
      <c r="F576" s="490">
        <f t="shared" si="166"/>
        <v>274.92</v>
      </c>
      <c r="G576" s="483">
        <v>2</v>
      </c>
      <c r="H576" s="433">
        <v>274.92</v>
      </c>
      <c r="I576" s="435">
        <f t="shared" si="167"/>
        <v>1</v>
      </c>
      <c r="J576" s="433">
        <f t="shared" si="168"/>
        <v>0</v>
      </c>
      <c r="K576" s="433">
        <f t="shared" si="169"/>
        <v>0</v>
      </c>
      <c r="L576" s="435">
        <f t="shared" si="170"/>
        <v>0</v>
      </c>
      <c r="M576" s="454">
        <f t="shared" si="156"/>
        <v>274.92</v>
      </c>
      <c r="N576" s="420"/>
      <c r="O576" s="420">
        <f t="shared" si="152"/>
        <v>0</v>
      </c>
      <c r="P576" s="454"/>
      <c r="R576" s="454"/>
    </row>
    <row r="577" spans="1:18" s="402" customFormat="1" ht="31.5" x14ac:dyDescent="0.2">
      <c r="A577" s="414">
        <v>250187</v>
      </c>
      <c r="B577" s="432" t="s">
        <v>1069</v>
      </c>
      <c r="C577" s="433" t="s">
        <v>23</v>
      </c>
      <c r="D577" s="433">
        <v>2</v>
      </c>
      <c r="E577" s="433">
        <v>210.89</v>
      </c>
      <c r="F577" s="490">
        <f t="shared" si="166"/>
        <v>421.78</v>
      </c>
      <c r="G577" s="483">
        <v>2</v>
      </c>
      <c r="H577" s="433">
        <v>421.78</v>
      </c>
      <c r="I577" s="435">
        <f t="shared" si="167"/>
        <v>1</v>
      </c>
      <c r="J577" s="433">
        <f t="shared" si="168"/>
        <v>0</v>
      </c>
      <c r="K577" s="433">
        <f t="shared" si="169"/>
        <v>0</v>
      </c>
      <c r="L577" s="435">
        <f t="shared" si="170"/>
        <v>0</v>
      </c>
      <c r="M577" s="454">
        <f t="shared" si="156"/>
        <v>421.78</v>
      </c>
      <c r="N577" s="420"/>
      <c r="O577" s="420">
        <f t="shared" si="152"/>
        <v>0</v>
      </c>
      <c r="P577" s="454"/>
      <c r="R577" s="454"/>
    </row>
    <row r="578" spans="1:18" ht="15.75" x14ac:dyDescent="0.2">
      <c r="A578" s="473"/>
      <c r="B578" s="475" t="s">
        <v>1070</v>
      </c>
      <c r="C578" s="471">
        <v>0</v>
      </c>
      <c r="D578" s="424">
        <v>0</v>
      </c>
      <c r="E578" s="424"/>
      <c r="F578" s="427"/>
      <c r="G578" s="440"/>
      <c r="H578" s="437"/>
      <c r="I578" s="431"/>
      <c r="J578" s="430"/>
      <c r="K578" s="425"/>
      <c r="L578" s="429"/>
      <c r="M578" s="454">
        <f t="shared" si="156"/>
        <v>0</v>
      </c>
      <c r="N578" s="420"/>
      <c r="O578" s="420">
        <f t="shared" si="152"/>
        <v>0</v>
      </c>
      <c r="P578" s="420"/>
      <c r="R578" s="420"/>
    </row>
    <row r="579" spans="1:18" s="402" customFormat="1" ht="31.5" x14ac:dyDescent="0.2">
      <c r="A579" s="414">
        <v>250188</v>
      </c>
      <c r="B579" s="432" t="s">
        <v>681</v>
      </c>
      <c r="C579" s="433" t="s">
        <v>26</v>
      </c>
      <c r="D579" s="433">
        <v>422.4</v>
      </c>
      <c r="E579" s="433">
        <v>8.3699999999999992</v>
      </c>
      <c r="F579" s="490">
        <f t="shared" ref="F579:F581" si="171">ROUND((E579*D579),2)</f>
        <v>3535.49</v>
      </c>
      <c r="G579" s="483">
        <v>422.4</v>
      </c>
      <c r="H579" s="433">
        <v>3535.4879999999994</v>
      </c>
      <c r="I579" s="435">
        <f>IF(F579=0,0,H579/F579)</f>
        <v>0.99999943430754989</v>
      </c>
      <c r="J579" s="433">
        <f>D579-G579</f>
        <v>0</v>
      </c>
      <c r="K579" s="433">
        <f>ROUND((J579*E579),2)</f>
        <v>0</v>
      </c>
      <c r="L579" s="435">
        <f>IF(F579=0,0,K579/F579)</f>
        <v>0</v>
      </c>
      <c r="M579" s="454">
        <f t="shared" si="156"/>
        <v>3535.49</v>
      </c>
      <c r="N579" s="420"/>
      <c r="O579" s="420">
        <f t="shared" si="152"/>
        <v>0</v>
      </c>
      <c r="P579" s="454"/>
      <c r="R579" s="454"/>
    </row>
    <row r="580" spans="1:18" s="402" customFormat="1" ht="31.5" x14ac:dyDescent="0.2">
      <c r="A580" s="414">
        <v>250189</v>
      </c>
      <c r="B580" s="432" t="s">
        <v>1071</v>
      </c>
      <c r="C580" s="433" t="s">
        <v>26</v>
      </c>
      <c r="D580" s="433">
        <v>2764.2</v>
      </c>
      <c r="E580" s="433">
        <v>10.87</v>
      </c>
      <c r="F580" s="490">
        <f t="shared" si="171"/>
        <v>30046.85</v>
      </c>
      <c r="G580" s="483">
        <v>2764.2</v>
      </c>
      <c r="H580" s="433">
        <v>30046.853999999996</v>
      </c>
      <c r="I580" s="435">
        <f>IF(F580=0,0,H580/F580)</f>
        <v>1.0000001331254358</v>
      </c>
      <c r="J580" s="433">
        <f>D580-G580</f>
        <v>0</v>
      </c>
      <c r="K580" s="433">
        <f>ROUND((J580*E580),2)</f>
        <v>0</v>
      </c>
      <c r="L580" s="435">
        <f>IF(F580=0,0,K580/F580)</f>
        <v>0</v>
      </c>
      <c r="M580" s="454">
        <f t="shared" si="156"/>
        <v>30046.85</v>
      </c>
      <c r="N580" s="420"/>
      <c r="O580" s="420">
        <f t="shared" si="152"/>
        <v>0</v>
      </c>
      <c r="P580" s="454"/>
      <c r="R580" s="454"/>
    </row>
    <row r="581" spans="1:18" s="402" customFormat="1" ht="31.5" x14ac:dyDescent="0.2">
      <c r="A581" s="414">
        <v>250190</v>
      </c>
      <c r="B581" s="432" t="s">
        <v>1072</v>
      </c>
      <c r="C581" s="433" t="s">
        <v>26</v>
      </c>
      <c r="D581" s="433">
        <v>480</v>
      </c>
      <c r="E581" s="433">
        <v>21.67</v>
      </c>
      <c r="F581" s="490">
        <f t="shared" si="171"/>
        <v>10401.6</v>
      </c>
      <c r="G581" s="483">
        <v>480</v>
      </c>
      <c r="H581" s="433">
        <v>10401.6</v>
      </c>
      <c r="I581" s="435">
        <f>IF(F581=0,0,H581/F581)</f>
        <v>1</v>
      </c>
      <c r="J581" s="433">
        <f>D581-G581</f>
        <v>0</v>
      </c>
      <c r="K581" s="433">
        <f>ROUND((J581*E581),2)</f>
        <v>0</v>
      </c>
      <c r="L581" s="435">
        <f>IF(F581=0,0,K581/F581)</f>
        <v>0</v>
      </c>
      <c r="M581" s="454">
        <f t="shared" si="156"/>
        <v>10401.6</v>
      </c>
      <c r="N581" s="420"/>
      <c r="O581" s="420">
        <f t="shared" si="152"/>
        <v>0</v>
      </c>
      <c r="P581" s="454"/>
      <c r="R581" s="454"/>
    </row>
    <row r="582" spans="1:18" ht="15.75" x14ac:dyDescent="0.2">
      <c r="A582" s="473"/>
      <c r="B582" s="475" t="s">
        <v>701</v>
      </c>
      <c r="C582" s="471">
        <v>0</v>
      </c>
      <c r="D582" s="424">
        <v>0</v>
      </c>
      <c r="E582" s="424"/>
      <c r="F582" s="427"/>
      <c r="G582" s="440"/>
      <c r="H582" s="437"/>
      <c r="I582" s="431"/>
      <c r="J582" s="430"/>
      <c r="K582" s="425"/>
      <c r="L582" s="429"/>
      <c r="M582" s="454">
        <f t="shared" si="156"/>
        <v>0</v>
      </c>
      <c r="N582" s="420"/>
      <c r="O582" s="420">
        <f t="shared" si="152"/>
        <v>0</v>
      </c>
      <c r="P582" s="420"/>
      <c r="R582" s="420"/>
    </row>
    <row r="583" spans="1:18" ht="15.75" x14ac:dyDescent="0.2">
      <c r="A583" s="473"/>
      <c r="B583" s="475" t="s">
        <v>1073</v>
      </c>
      <c r="C583" s="471">
        <v>0</v>
      </c>
      <c r="D583" s="424">
        <v>0</v>
      </c>
      <c r="E583" s="424"/>
      <c r="F583" s="427"/>
      <c r="G583" s="440"/>
      <c r="H583" s="437"/>
      <c r="I583" s="431"/>
      <c r="J583" s="430"/>
      <c r="K583" s="425"/>
      <c r="L583" s="429"/>
      <c r="M583" s="454">
        <f t="shared" si="156"/>
        <v>0</v>
      </c>
      <c r="N583" s="420"/>
      <c r="O583" s="420">
        <f t="shared" si="152"/>
        <v>0</v>
      </c>
      <c r="P583" s="420"/>
      <c r="R583" s="420"/>
    </row>
    <row r="584" spans="1:18" s="402" customFormat="1" ht="15.75" x14ac:dyDescent="0.2">
      <c r="A584" s="414">
        <v>250191</v>
      </c>
      <c r="B584" s="432" t="s">
        <v>708</v>
      </c>
      <c r="C584" s="433" t="s">
        <v>26</v>
      </c>
      <c r="D584" s="433">
        <v>15</v>
      </c>
      <c r="E584" s="433">
        <v>28.57</v>
      </c>
      <c r="F584" s="490">
        <f t="shared" ref="F584:F587" si="172">ROUND((E584*D584),2)</f>
        <v>428.55</v>
      </c>
      <c r="G584" s="483">
        <v>15</v>
      </c>
      <c r="H584" s="433">
        <v>428.55</v>
      </c>
      <c r="I584" s="435">
        <f>IF(F584=0,0,H584/F584)</f>
        <v>1</v>
      </c>
      <c r="J584" s="433">
        <f>D584-G584</f>
        <v>0</v>
      </c>
      <c r="K584" s="433">
        <f>ROUND((J584*E584),2)</f>
        <v>0</v>
      </c>
      <c r="L584" s="435">
        <f>IF(F584=0,0,K584/F584)</f>
        <v>0</v>
      </c>
      <c r="M584" s="454">
        <f t="shared" si="156"/>
        <v>428.55</v>
      </c>
      <c r="N584" s="420"/>
      <c r="O584" s="420">
        <f t="shared" si="152"/>
        <v>0</v>
      </c>
      <c r="P584" s="454"/>
      <c r="R584" s="454"/>
    </row>
    <row r="585" spans="1:18" s="402" customFormat="1" ht="15.75" x14ac:dyDescent="0.2">
      <c r="A585" s="414">
        <v>250192</v>
      </c>
      <c r="B585" s="432" t="s">
        <v>709</v>
      </c>
      <c r="C585" s="433" t="s">
        <v>26</v>
      </c>
      <c r="D585" s="433">
        <v>15</v>
      </c>
      <c r="E585" s="433">
        <v>34.729999999999997</v>
      </c>
      <c r="F585" s="490">
        <f t="shared" si="172"/>
        <v>520.95000000000005</v>
      </c>
      <c r="G585" s="483">
        <v>15</v>
      </c>
      <c r="H585" s="433">
        <v>520.94999999999993</v>
      </c>
      <c r="I585" s="435">
        <f>IF(F585=0,0,H585/F585)</f>
        <v>0.99999999999999978</v>
      </c>
      <c r="J585" s="433">
        <f>D585-G585</f>
        <v>0</v>
      </c>
      <c r="K585" s="433">
        <f>ROUND((J585*E585),2)</f>
        <v>0</v>
      </c>
      <c r="L585" s="435">
        <f>IF(F585=0,0,K585/F585)</f>
        <v>0</v>
      </c>
      <c r="M585" s="454">
        <f t="shared" si="156"/>
        <v>520.95000000000005</v>
      </c>
      <c r="N585" s="420"/>
      <c r="O585" s="420">
        <f t="shared" si="152"/>
        <v>0</v>
      </c>
      <c r="P585" s="454"/>
      <c r="R585" s="454"/>
    </row>
    <row r="586" spans="1:18" s="402" customFormat="1" ht="63" x14ac:dyDescent="0.2">
      <c r="A586" s="414">
        <v>250193</v>
      </c>
      <c r="B586" s="432" t="s">
        <v>713</v>
      </c>
      <c r="C586" s="433" t="s">
        <v>23</v>
      </c>
      <c r="D586" s="433">
        <v>2</v>
      </c>
      <c r="E586" s="433">
        <v>304.60000000000002</v>
      </c>
      <c r="F586" s="490">
        <f t="shared" si="172"/>
        <v>609.20000000000005</v>
      </c>
      <c r="G586" s="483">
        <v>2</v>
      </c>
      <c r="H586" s="433">
        <v>609.20000000000005</v>
      </c>
      <c r="I586" s="435">
        <f>IF(F586=0,0,H586/F586)</f>
        <v>1</v>
      </c>
      <c r="J586" s="433">
        <f>D586-G586</f>
        <v>0</v>
      </c>
      <c r="K586" s="433">
        <f>ROUND((J586*E586),2)</f>
        <v>0</v>
      </c>
      <c r="L586" s="435">
        <f>IF(F586=0,0,K586/F586)</f>
        <v>0</v>
      </c>
      <c r="M586" s="454">
        <f t="shared" si="156"/>
        <v>609.20000000000005</v>
      </c>
      <c r="N586" s="420"/>
      <c r="O586" s="420">
        <f t="shared" si="152"/>
        <v>0</v>
      </c>
      <c r="P586" s="454"/>
      <c r="R586" s="454"/>
    </row>
    <row r="587" spans="1:18" s="402" customFormat="1" ht="78.75" x14ac:dyDescent="0.2">
      <c r="A587" s="414">
        <v>250194</v>
      </c>
      <c r="B587" s="432" t="s">
        <v>1074</v>
      </c>
      <c r="C587" s="433" t="s">
        <v>26</v>
      </c>
      <c r="D587" s="433">
        <v>15</v>
      </c>
      <c r="E587" s="433">
        <v>120.23</v>
      </c>
      <c r="F587" s="490">
        <f t="shared" si="172"/>
        <v>1803.45</v>
      </c>
      <c r="G587" s="483">
        <v>15</v>
      </c>
      <c r="H587" s="433">
        <v>1803.45</v>
      </c>
      <c r="I587" s="435">
        <f>IF(F587=0,0,H587/F587)</f>
        <v>1</v>
      </c>
      <c r="J587" s="433">
        <f>D587-G587</f>
        <v>0</v>
      </c>
      <c r="K587" s="433">
        <f>ROUND((J587*E587),2)</f>
        <v>0</v>
      </c>
      <c r="L587" s="435">
        <f>IF(F587=0,0,K587/F587)</f>
        <v>0</v>
      </c>
      <c r="M587" s="454">
        <f t="shared" si="156"/>
        <v>1803.45</v>
      </c>
      <c r="N587" s="420"/>
      <c r="O587" s="420">
        <f t="shared" ref="O587:O636" si="173">K587-N587</f>
        <v>0</v>
      </c>
      <c r="P587" s="454"/>
      <c r="R587" s="454"/>
    </row>
    <row r="588" spans="1:18" ht="15.75" x14ac:dyDescent="0.2">
      <c r="A588" s="473"/>
      <c r="B588" s="475" t="s">
        <v>1075</v>
      </c>
      <c r="C588" s="471">
        <v>0</v>
      </c>
      <c r="D588" s="424">
        <v>0</v>
      </c>
      <c r="E588" s="424"/>
      <c r="F588" s="427"/>
      <c r="G588" s="440"/>
      <c r="H588" s="437"/>
      <c r="I588" s="431"/>
      <c r="J588" s="430"/>
      <c r="K588" s="425"/>
      <c r="L588" s="429"/>
      <c r="M588" s="454">
        <f t="shared" si="156"/>
        <v>0</v>
      </c>
      <c r="N588" s="420"/>
      <c r="O588" s="420">
        <f t="shared" si="173"/>
        <v>0</v>
      </c>
      <c r="P588" s="420"/>
      <c r="R588" s="420"/>
    </row>
    <row r="589" spans="1:18" s="402" customFormat="1" ht="47.25" x14ac:dyDescent="0.2">
      <c r="A589" s="414">
        <v>250195</v>
      </c>
      <c r="B589" s="432" t="s">
        <v>1076</v>
      </c>
      <c r="C589" s="433" t="s">
        <v>23</v>
      </c>
      <c r="D589" s="433">
        <v>34</v>
      </c>
      <c r="E589" s="433">
        <v>509.08</v>
      </c>
      <c r="F589" s="490">
        <f t="shared" ref="F589:F590" si="174">ROUND((E589*D589),2)</f>
        <v>17308.72</v>
      </c>
      <c r="G589" s="483">
        <v>34</v>
      </c>
      <c r="H589" s="433">
        <v>17308.72</v>
      </c>
      <c r="I589" s="435">
        <f>IF(F589=0,0,H589/F589)</f>
        <v>1</v>
      </c>
      <c r="J589" s="433">
        <f>D589-G589</f>
        <v>0</v>
      </c>
      <c r="K589" s="433">
        <f>ROUND((J589*E589),2)</f>
        <v>0</v>
      </c>
      <c r="L589" s="435">
        <f>IF(F589=0,0,K589/F589)</f>
        <v>0</v>
      </c>
      <c r="M589" s="454">
        <f t="shared" si="156"/>
        <v>17308.72</v>
      </c>
      <c r="N589" s="420"/>
      <c r="O589" s="420">
        <f t="shared" si="173"/>
        <v>0</v>
      </c>
      <c r="P589" s="454"/>
      <c r="R589" s="454"/>
    </row>
    <row r="590" spans="1:18" s="402" customFormat="1" ht="31.5" x14ac:dyDescent="0.2">
      <c r="A590" s="414">
        <v>250196</v>
      </c>
      <c r="B590" s="432" t="s">
        <v>1077</v>
      </c>
      <c r="C590" s="433" t="s">
        <v>23</v>
      </c>
      <c r="D590" s="433">
        <v>2</v>
      </c>
      <c r="E590" s="433">
        <v>742.11</v>
      </c>
      <c r="F590" s="490">
        <f t="shared" si="174"/>
        <v>1484.22</v>
      </c>
      <c r="G590" s="483">
        <v>2</v>
      </c>
      <c r="H590" s="433">
        <v>1484.22</v>
      </c>
      <c r="I590" s="435">
        <f>IF(F590=0,0,H590/F590)</f>
        <v>1</v>
      </c>
      <c r="J590" s="433">
        <f>D590-G590</f>
        <v>0</v>
      </c>
      <c r="K590" s="433">
        <f>ROUND((J590*E590),2)</f>
        <v>0</v>
      </c>
      <c r="L590" s="435">
        <f>IF(F590=0,0,K590/F590)</f>
        <v>0</v>
      </c>
      <c r="M590" s="454">
        <f t="shared" si="156"/>
        <v>1484.22</v>
      </c>
      <c r="N590" s="420"/>
      <c r="O590" s="420">
        <f t="shared" si="173"/>
        <v>0</v>
      </c>
      <c r="P590" s="454"/>
      <c r="R590" s="454"/>
    </row>
    <row r="591" spans="1:18" ht="15.75" x14ac:dyDescent="0.2">
      <c r="A591" s="473"/>
      <c r="B591" s="475" t="s">
        <v>716</v>
      </c>
      <c r="C591" s="471">
        <v>0</v>
      </c>
      <c r="D591" s="424">
        <v>0</v>
      </c>
      <c r="E591" s="424"/>
      <c r="F591" s="427"/>
      <c r="G591" s="440"/>
      <c r="H591" s="437"/>
      <c r="I591" s="431"/>
      <c r="J591" s="430"/>
      <c r="K591" s="425"/>
      <c r="L591" s="429"/>
      <c r="M591" s="454">
        <f t="shared" si="156"/>
        <v>0</v>
      </c>
      <c r="N591" s="420"/>
      <c r="O591" s="420">
        <f t="shared" si="173"/>
        <v>0</v>
      </c>
      <c r="P591" s="420"/>
      <c r="R591" s="420"/>
    </row>
    <row r="592" spans="1:18" ht="15.75" x14ac:dyDescent="0.2">
      <c r="A592" s="473"/>
      <c r="B592" s="475" t="s">
        <v>1078</v>
      </c>
      <c r="C592" s="471">
        <v>0</v>
      </c>
      <c r="D592" s="424">
        <v>0</v>
      </c>
      <c r="E592" s="424"/>
      <c r="F592" s="427"/>
      <c r="G592" s="440"/>
      <c r="H592" s="437"/>
      <c r="I592" s="431"/>
      <c r="J592" s="430"/>
      <c r="K592" s="425"/>
      <c r="L592" s="429"/>
      <c r="M592" s="454">
        <f t="shared" si="156"/>
        <v>0</v>
      </c>
      <c r="N592" s="420"/>
      <c r="O592" s="420">
        <f t="shared" si="173"/>
        <v>0</v>
      </c>
      <c r="P592" s="420"/>
      <c r="R592" s="420"/>
    </row>
    <row r="593" spans="1:18" s="402" customFormat="1" ht="31.5" x14ac:dyDescent="0.2">
      <c r="A593" s="414">
        <v>250197</v>
      </c>
      <c r="B593" s="432" t="s">
        <v>721</v>
      </c>
      <c r="C593" s="433" t="s">
        <v>23</v>
      </c>
      <c r="D593" s="433">
        <v>2</v>
      </c>
      <c r="E593" s="433">
        <v>615.78</v>
      </c>
      <c r="F593" s="490">
        <f t="shared" ref="F593:F594" si="175">ROUND((E593*D593),2)</f>
        <v>1231.56</v>
      </c>
      <c r="G593" s="483">
        <v>2</v>
      </c>
      <c r="H593" s="433">
        <v>1231.56</v>
      </c>
      <c r="I593" s="435">
        <f>IF(F593=0,0,H593/F593)</f>
        <v>1</v>
      </c>
      <c r="J593" s="433">
        <f>D593-G593</f>
        <v>0</v>
      </c>
      <c r="K593" s="433">
        <f>ROUND((J593*E593),2)</f>
        <v>0</v>
      </c>
      <c r="L593" s="435">
        <f>IF(F593=0,0,K593/F593)</f>
        <v>0</v>
      </c>
      <c r="M593" s="454">
        <f t="shared" si="156"/>
        <v>1231.56</v>
      </c>
      <c r="N593" s="420"/>
      <c r="O593" s="420">
        <f t="shared" si="173"/>
        <v>0</v>
      </c>
      <c r="P593" s="454"/>
      <c r="R593" s="454"/>
    </row>
    <row r="594" spans="1:18" s="402" customFormat="1" ht="47.25" x14ac:dyDescent="0.2">
      <c r="A594" s="414">
        <v>250198</v>
      </c>
      <c r="B594" s="432" t="s">
        <v>1079</v>
      </c>
      <c r="C594" s="433" t="s">
        <v>23</v>
      </c>
      <c r="D594" s="433">
        <v>2</v>
      </c>
      <c r="E594" s="433">
        <v>529.35</v>
      </c>
      <c r="F594" s="490">
        <f t="shared" si="175"/>
        <v>1058.7</v>
      </c>
      <c r="G594" s="483">
        <v>2</v>
      </c>
      <c r="H594" s="433">
        <v>1058.7</v>
      </c>
      <c r="I594" s="435">
        <f>IF(F594=0,0,H594/F594)</f>
        <v>1</v>
      </c>
      <c r="J594" s="433">
        <f>D594-G594</f>
        <v>0</v>
      </c>
      <c r="K594" s="433">
        <f>ROUND((J594*E594),2)</f>
        <v>0</v>
      </c>
      <c r="L594" s="435">
        <f>IF(F594=0,0,K594/F594)</f>
        <v>0</v>
      </c>
      <c r="M594" s="454">
        <f t="shared" si="156"/>
        <v>1058.7</v>
      </c>
      <c r="N594" s="420"/>
      <c r="O594" s="420">
        <f t="shared" si="173"/>
        <v>0</v>
      </c>
      <c r="P594" s="454"/>
      <c r="R594" s="454"/>
    </row>
    <row r="595" spans="1:18" ht="15.75" x14ac:dyDescent="0.2">
      <c r="A595" s="473"/>
      <c r="B595" s="475" t="s">
        <v>1080</v>
      </c>
      <c r="C595" s="471">
        <v>0</v>
      </c>
      <c r="D595" s="424">
        <v>0</v>
      </c>
      <c r="E595" s="424"/>
      <c r="F595" s="427"/>
      <c r="G595" s="440"/>
      <c r="H595" s="437"/>
      <c r="I595" s="431"/>
      <c r="J595" s="430"/>
      <c r="K595" s="425"/>
      <c r="L595" s="429"/>
      <c r="M595" s="454">
        <f t="shared" si="156"/>
        <v>0</v>
      </c>
      <c r="N595" s="420"/>
      <c r="O595" s="420">
        <f t="shared" si="173"/>
        <v>0</v>
      </c>
      <c r="P595" s="420"/>
      <c r="R595" s="420"/>
    </row>
    <row r="596" spans="1:18" s="402" customFormat="1" ht="63" x14ac:dyDescent="0.2">
      <c r="A596" s="414">
        <v>250199</v>
      </c>
      <c r="B596" s="432" t="s">
        <v>727</v>
      </c>
      <c r="C596" s="433" t="s">
        <v>35</v>
      </c>
      <c r="D596" s="433">
        <v>5.84</v>
      </c>
      <c r="E596" s="433">
        <v>1035.47</v>
      </c>
      <c r="F596" s="490">
        <f t="shared" ref="F596:F597" si="176">ROUND((E596*D596),2)</f>
        <v>6047.14</v>
      </c>
      <c r="G596" s="483">
        <v>5.84</v>
      </c>
      <c r="H596" s="433">
        <v>6065.1439000000009</v>
      </c>
      <c r="I596" s="435">
        <f>IF(F596=0,0,H596/F596)</f>
        <v>1.0029772586710413</v>
      </c>
      <c r="J596" s="433"/>
      <c r="K596" s="433"/>
      <c r="L596" s="435">
        <f>IF(F596=0,0,K596/F596)</f>
        <v>0</v>
      </c>
      <c r="M596" s="454">
        <f t="shared" si="156"/>
        <v>6047.14</v>
      </c>
      <c r="N596" s="420"/>
      <c r="O596" s="420">
        <f t="shared" si="173"/>
        <v>0</v>
      </c>
      <c r="P596" s="454"/>
      <c r="R596" s="454"/>
    </row>
    <row r="597" spans="1:18" s="402" customFormat="1" ht="63" x14ac:dyDescent="0.2">
      <c r="A597" s="414">
        <v>250200</v>
      </c>
      <c r="B597" s="432" t="s">
        <v>729</v>
      </c>
      <c r="C597" s="433" t="s">
        <v>26</v>
      </c>
      <c r="D597" s="433">
        <v>4.8600000000000003</v>
      </c>
      <c r="E597" s="433">
        <v>142.13999999999999</v>
      </c>
      <c r="F597" s="490">
        <f t="shared" si="176"/>
        <v>690.8</v>
      </c>
      <c r="G597" s="483">
        <v>4.8600000000000003</v>
      </c>
      <c r="H597" s="433">
        <v>690.80039999999997</v>
      </c>
      <c r="I597" s="435">
        <f>IF(F597=0,0,H597/F597)</f>
        <v>1.0000005790387956</v>
      </c>
      <c r="J597" s="433">
        <f>D597-G597</f>
        <v>0</v>
      </c>
      <c r="K597" s="433">
        <f>ROUND((J597*E597),2)</f>
        <v>0</v>
      </c>
      <c r="L597" s="435">
        <f>IF(F597=0,0,K597/F597)</f>
        <v>0</v>
      </c>
      <c r="M597" s="454">
        <f t="shared" si="156"/>
        <v>690.8</v>
      </c>
      <c r="N597" s="420"/>
      <c r="O597" s="420">
        <f t="shared" si="173"/>
        <v>0</v>
      </c>
      <c r="P597" s="454"/>
      <c r="R597" s="454"/>
    </row>
    <row r="598" spans="1:18" ht="15.75" x14ac:dyDescent="0.2">
      <c r="A598" s="473"/>
      <c r="B598" s="475" t="s">
        <v>1081</v>
      </c>
      <c r="C598" s="471">
        <v>0</v>
      </c>
      <c r="D598" s="424">
        <v>0</v>
      </c>
      <c r="E598" s="424"/>
      <c r="F598" s="427"/>
      <c r="G598" s="440"/>
      <c r="H598" s="437"/>
      <c r="I598" s="431"/>
      <c r="J598" s="430"/>
      <c r="K598" s="425"/>
      <c r="L598" s="429"/>
      <c r="M598" s="454">
        <f t="shared" si="156"/>
        <v>0</v>
      </c>
      <c r="N598" s="420"/>
      <c r="O598" s="420">
        <f t="shared" si="173"/>
        <v>0</v>
      </c>
      <c r="P598" s="420"/>
      <c r="R598" s="420"/>
    </row>
    <row r="599" spans="1:18" s="402" customFormat="1" ht="63" x14ac:dyDescent="0.2">
      <c r="A599" s="414">
        <v>250201</v>
      </c>
      <c r="B599" s="432" t="s">
        <v>1082</v>
      </c>
      <c r="C599" s="433" t="s">
        <v>23</v>
      </c>
      <c r="D599" s="433">
        <v>2</v>
      </c>
      <c r="E599" s="433">
        <v>619.44000000000005</v>
      </c>
      <c r="F599" s="490">
        <f t="shared" ref="F599:F600" si="177">ROUND((E599*D599),2)</f>
        <v>1238.8800000000001</v>
      </c>
      <c r="G599" s="483">
        <v>2</v>
      </c>
      <c r="H599" s="433">
        <v>1238.8800000000001</v>
      </c>
      <c r="I599" s="435">
        <f>IF(F599=0,0,H599/F599)</f>
        <v>1</v>
      </c>
      <c r="J599" s="433">
        <f>D599-G599</f>
        <v>0</v>
      </c>
      <c r="K599" s="433">
        <f>ROUND((J599*E599),2)</f>
        <v>0</v>
      </c>
      <c r="L599" s="435">
        <f>IF(F599=0,0,K599/F599)</f>
        <v>0</v>
      </c>
      <c r="M599" s="454">
        <f t="shared" ref="M599:M634" si="178">F599-K599</f>
        <v>1238.8800000000001</v>
      </c>
      <c r="N599" s="420"/>
      <c r="O599" s="420">
        <f>K599-N599</f>
        <v>0</v>
      </c>
      <c r="P599" s="454"/>
      <c r="R599" s="454"/>
    </row>
    <row r="600" spans="1:18" s="402" customFormat="1" ht="51" customHeight="1" x14ac:dyDescent="0.2">
      <c r="A600" s="414">
        <v>250202</v>
      </c>
      <c r="B600" s="432" t="s">
        <v>1083</v>
      </c>
      <c r="C600" s="433" t="s">
        <v>23</v>
      </c>
      <c r="D600" s="433">
        <v>2</v>
      </c>
      <c r="E600" s="433">
        <v>225.75</v>
      </c>
      <c r="F600" s="490">
        <f t="shared" si="177"/>
        <v>451.5</v>
      </c>
      <c r="G600" s="483">
        <v>2</v>
      </c>
      <c r="H600" s="433">
        <v>451.5</v>
      </c>
      <c r="I600" s="435">
        <f>IF(F600=0,0,H600/F600)</f>
        <v>1</v>
      </c>
      <c r="J600" s="433">
        <f>D600-G600</f>
        <v>0</v>
      </c>
      <c r="K600" s="433">
        <f>ROUND((J600*E600),2)</f>
        <v>0</v>
      </c>
      <c r="L600" s="435">
        <f>IF(F600=0,0,K600/F600)</f>
        <v>0</v>
      </c>
      <c r="M600" s="454">
        <f t="shared" si="178"/>
        <v>451.5</v>
      </c>
      <c r="N600" s="420"/>
      <c r="O600" s="420">
        <f t="shared" si="173"/>
        <v>0</v>
      </c>
      <c r="P600" s="454"/>
      <c r="R600" s="454"/>
    </row>
    <row r="601" spans="1:18" ht="15.75" x14ac:dyDescent="0.2">
      <c r="A601" s="473"/>
      <c r="B601" s="475" t="s">
        <v>1084</v>
      </c>
      <c r="C601" s="471">
        <v>0</v>
      </c>
      <c r="D601" s="424">
        <v>0</v>
      </c>
      <c r="E601" s="424"/>
      <c r="F601" s="427"/>
      <c r="G601" s="440"/>
      <c r="H601" s="437"/>
      <c r="I601" s="431"/>
      <c r="J601" s="430"/>
      <c r="K601" s="425"/>
      <c r="L601" s="429"/>
      <c r="M601" s="454">
        <f t="shared" si="178"/>
        <v>0</v>
      </c>
      <c r="N601" s="420"/>
      <c r="O601" s="420">
        <f t="shared" si="173"/>
        <v>0</v>
      </c>
      <c r="P601" s="420"/>
      <c r="R601" s="420"/>
    </row>
    <row r="602" spans="1:18" s="402" customFormat="1" ht="31.5" x14ac:dyDescent="0.2">
      <c r="A602" s="414">
        <v>250203</v>
      </c>
      <c r="B602" s="432" t="s">
        <v>1085</v>
      </c>
      <c r="C602" s="433" t="s">
        <v>23</v>
      </c>
      <c r="D602" s="433">
        <v>2</v>
      </c>
      <c r="E602" s="433">
        <v>445.34</v>
      </c>
      <c r="F602" s="490">
        <f t="shared" ref="F602:F606" si="179">ROUND((E602*D602),2)</f>
        <v>890.68</v>
      </c>
      <c r="G602" s="483">
        <v>2</v>
      </c>
      <c r="H602" s="433">
        <v>890.68</v>
      </c>
      <c r="I602" s="435">
        <f>IF(F602=0,0,H602/F602)</f>
        <v>1</v>
      </c>
      <c r="J602" s="433">
        <f>D602-G602</f>
        <v>0</v>
      </c>
      <c r="K602" s="433">
        <f>ROUND((J602*E602),2)</f>
        <v>0</v>
      </c>
      <c r="L602" s="435">
        <f>IF(F602=0,0,K602/F602)</f>
        <v>0</v>
      </c>
      <c r="M602" s="454">
        <f t="shared" si="178"/>
        <v>890.68</v>
      </c>
      <c r="N602" s="420"/>
      <c r="O602" s="420">
        <f t="shared" si="173"/>
        <v>0</v>
      </c>
      <c r="P602" s="454"/>
      <c r="R602" s="454"/>
    </row>
    <row r="603" spans="1:18" s="402" customFormat="1" ht="45" customHeight="1" x14ac:dyDescent="0.2">
      <c r="A603" s="414">
        <v>250204</v>
      </c>
      <c r="B603" s="432" t="s">
        <v>743</v>
      </c>
      <c r="C603" s="433" t="s">
        <v>23</v>
      </c>
      <c r="D603" s="433">
        <v>2</v>
      </c>
      <c r="E603" s="433">
        <v>372.07</v>
      </c>
      <c r="F603" s="490">
        <f t="shared" si="179"/>
        <v>744.14</v>
      </c>
      <c r="G603" s="483">
        <v>2</v>
      </c>
      <c r="H603" s="433">
        <v>744.14</v>
      </c>
      <c r="I603" s="435">
        <f>IF(F603=0,0,H603/F603)</f>
        <v>1</v>
      </c>
      <c r="J603" s="433">
        <f>D603-G603</f>
        <v>0</v>
      </c>
      <c r="K603" s="433">
        <f>ROUND((J603*E603),2)</f>
        <v>0</v>
      </c>
      <c r="L603" s="435">
        <f>IF(F603=0,0,K603/F603)</f>
        <v>0</v>
      </c>
      <c r="M603" s="454">
        <f t="shared" si="178"/>
        <v>744.14</v>
      </c>
      <c r="N603" s="420"/>
      <c r="O603" s="420">
        <f t="shared" si="173"/>
        <v>0</v>
      </c>
      <c r="P603" s="454"/>
      <c r="R603" s="454"/>
    </row>
    <row r="604" spans="1:18" s="402" customFormat="1" ht="55.5" customHeight="1" x14ac:dyDescent="0.2">
      <c r="A604" s="414">
        <v>250205</v>
      </c>
      <c r="B604" s="432" t="s">
        <v>747</v>
      </c>
      <c r="C604" s="433" t="s">
        <v>23</v>
      </c>
      <c r="D604" s="433">
        <v>4</v>
      </c>
      <c r="E604" s="433">
        <v>77.739999999999995</v>
      </c>
      <c r="F604" s="490">
        <f t="shared" si="179"/>
        <v>310.95999999999998</v>
      </c>
      <c r="G604" s="483">
        <v>4</v>
      </c>
      <c r="H604" s="433">
        <v>310.95999999999998</v>
      </c>
      <c r="I604" s="435">
        <f>IF(F604=0,0,H604/F604)</f>
        <v>1</v>
      </c>
      <c r="J604" s="433">
        <f>D604-G604</f>
        <v>0</v>
      </c>
      <c r="K604" s="433">
        <f>ROUND((J604*E604),2)</f>
        <v>0</v>
      </c>
      <c r="L604" s="435">
        <f>IF(F604=0,0,K604/F604)</f>
        <v>0</v>
      </c>
      <c r="M604" s="454">
        <f t="shared" si="178"/>
        <v>310.95999999999998</v>
      </c>
      <c r="N604" s="420"/>
      <c r="O604" s="420">
        <f t="shared" si="173"/>
        <v>0</v>
      </c>
      <c r="P604" s="454"/>
      <c r="R604" s="454"/>
    </row>
    <row r="605" spans="1:18" s="402" customFormat="1" ht="15.75" x14ac:dyDescent="0.2">
      <c r="A605" s="414">
        <v>250206</v>
      </c>
      <c r="B605" s="432" t="s">
        <v>749</v>
      </c>
      <c r="C605" s="433" t="s">
        <v>23</v>
      </c>
      <c r="D605" s="433">
        <v>4</v>
      </c>
      <c r="E605" s="433">
        <v>133.35</v>
      </c>
      <c r="F605" s="490">
        <f t="shared" si="179"/>
        <v>533.4</v>
      </c>
      <c r="G605" s="483">
        <v>4</v>
      </c>
      <c r="H605" s="433">
        <v>533.4</v>
      </c>
      <c r="I605" s="435">
        <f>IF(F605=0,0,H605/F605)</f>
        <v>1</v>
      </c>
      <c r="J605" s="433">
        <f>D605-G605</f>
        <v>0</v>
      </c>
      <c r="K605" s="433">
        <f>ROUND((J605*E605),2)</f>
        <v>0</v>
      </c>
      <c r="L605" s="435">
        <f>IF(F605=0,0,K605/F605)</f>
        <v>0</v>
      </c>
      <c r="M605" s="454">
        <f t="shared" si="178"/>
        <v>533.4</v>
      </c>
      <c r="N605" s="420"/>
      <c r="O605" s="420">
        <f t="shared" si="173"/>
        <v>0</v>
      </c>
      <c r="P605" s="454"/>
      <c r="R605" s="454"/>
    </row>
    <row r="606" spans="1:18" s="402" customFormat="1" ht="31.5" x14ac:dyDescent="0.2">
      <c r="A606" s="414">
        <v>250207</v>
      </c>
      <c r="B606" s="432" t="s">
        <v>1086</v>
      </c>
      <c r="C606" s="433" t="s">
        <v>23</v>
      </c>
      <c r="D606" s="433">
        <v>2</v>
      </c>
      <c r="E606" s="433">
        <v>151.43</v>
      </c>
      <c r="F606" s="490">
        <f t="shared" si="179"/>
        <v>302.86</v>
      </c>
      <c r="G606" s="483">
        <v>2</v>
      </c>
      <c r="H606" s="433">
        <v>302.86</v>
      </c>
      <c r="I606" s="435">
        <f>IF(F606=0,0,H606/F606)</f>
        <v>1</v>
      </c>
      <c r="J606" s="433">
        <f>D606-G606</f>
        <v>0</v>
      </c>
      <c r="K606" s="433">
        <f>ROUND((J606*E606),2)</f>
        <v>0</v>
      </c>
      <c r="L606" s="435">
        <f>IF(F606=0,0,K606/F606)</f>
        <v>0</v>
      </c>
      <c r="M606" s="454">
        <f t="shared" si="178"/>
        <v>302.86</v>
      </c>
      <c r="N606" s="420"/>
      <c r="O606" s="420">
        <f t="shared" si="173"/>
        <v>0</v>
      </c>
      <c r="P606" s="454"/>
      <c r="R606" s="454"/>
    </row>
    <row r="607" spans="1:18" ht="15.75" x14ac:dyDescent="0.2">
      <c r="A607" s="473"/>
      <c r="B607" s="475" t="s">
        <v>766</v>
      </c>
      <c r="C607" s="471">
        <v>0</v>
      </c>
      <c r="D607" s="424">
        <v>0</v>
      </c>
      <c r="E607" s="424"/>
      <c r="F607" s="427"/>
      <c r="G607" s="440"/>
      <c r="H607" s="437"/>
      <c r="I607" s="431"/>
      <c r="J607" s="430"/>
      <c r="K607" s="425"/>
      <c r="L607" s="429"/>
      <c r="M607" s="454">
        <f t="shared" si="178"/>
        <v>0</v>
      </c>
      <c r="N607" s="420"/>
      <c r="O607" s="420">
        <f t="shared" si="173"/>
        <v>0</v>
      </c>
      <c r="P607" s="420"/>
      <c r="R607" s="420"/>
    </row>
    <row r="608" spans="1:18" ht="15.75" x14ac:dyDescent="0.2">
      <c r="A608" s="473"/>
      <c r="B608" s="475" t="s">
        <v>1087</v>
      </c>
      <c r="C608" s="471">
        <v>0</v>
      </c>
      <c r="D608" s="424">
        <v>0</v>
      </c>
      <c r="E608" s="424"/>
      <c r="F608" s="427"/>
      <c r="G608" s="440"/>
      <c r="H608" s="437"/>
      <c r="I608" s="431"/>
      <c r="J608" s="430"/>
      <c r="K608" s="425"/>
      <c r="L608" s="429"/>
      <c r="M608" s="454">
        <f t="shared" si="178"/>
        <v>0</v>
      </c>
      <c r="N608" s="420"/>
      <c r="O608" s="420">
        <f t="shared" si="173"/>
        <v>0</v>
      </c>
      <c r="P608" s="420"/>
      <c r="R608" s="420"/>
    </row>
    <row r="609" spans="1:18" s="402" customFormat="1" ht="63" x14ac:dyDescent="0.2">
      <c r="A609" s="414">
        <v>250208</v>
      </c>
      <c r="B609" s="432" t="s">
        <v>770</v>
      </c>
      <c r="C609" s="433" t="s">
        <v>23</v>
      </c>
      <c r="D609" s="433">
        <v>8</v>
      </c>
      <c r="E609" s="433">
        <v>305.27</v>
      </c>
      <c r="F609" s="490">
        <f t="shared" ref="F609:F619" si="180">ROUND((E609*D609),2)</f>
        <v>2442.16</v>
      </c>
      <c r="G609" s="483">
        <v>8</v>
      </c>
      <c r="H609" s="433">
        <v>2442.16</v>
      </c>
      <c r="I609" s="435">
        <f>IF(F609=0,0,H609/F609)</f>
        <v>1</v>
      </c>
      <c r="J609" s="433">
        <f>D609-G609</f>
        <v>0</v>
      </c>
      <c r="K609" s="433">
        <f>ROUND((J609*E609),2)</f>
        <v>0</v>
      </c>
      <c r="L609" s="435">
        <f>IF(F609=0,0,K609/F609)</f>
        <v>0</v>
      </c>
      <c r="M609" s="454">
        <f t="shared" si="178"/>
        <v>2442.16</v>
      </c>
      <c r="N609" s="420"/>
      <c r="O609" s="420">
        <f t="shared" si="173"/>
        <v>0</v>
      </c>
      <c r="P609" s="454"/>
      <c r="R609" s="454"/>
    </row>
    <row r="610" spans="1:18" s="402" customFormat="1" ht="47.25" x14ac:dyDescent="0.2">
      <c r="A610" s="414">
        <v>250209</v>
      </c>
      <c r="B610" s="432" t="s">
        <v>1088</v>
      </c>
      <c r="C610" s="433" t="s">
        <v>23</v>
      </c>
      <c r="D610" s="433">
        <v>4</v>
      </c>
      <c r="E610" s="433">
        <v>134.76</v>
      </c>
      <c r="F610" s="490">
        <f t="shared" si="180"/>
        <v>539.04</v>
      </c>
      <c r="G610" s="483">
        <v>4</v>
      </c>
      <c r="H610" s="433">
        <v>539.04</v>
      </c>
      <c r="I610" s="435">
        <f>IF(F610=0,0,H610/F610)</f>
        <v>1</v>
      </c>
      <c r="J610" s="433">
        <f>D610-G610</f>
        <v>0</v>
      </c>
      <c r="K610" s="433">
        <f>ROUND((J610*E610),2)</f>
        <v>0</v>
      </c>
      <c r="L610" s="435">
        <f>IF(F610=0,0,K610/F610)</f>
        <v>0</v>
      </c>
      <c r="M610" s="454">
        <f t="shared" si="178"/>
        <v>539.04</v>
      </c>
      <c r="N610" s="420"/>
      <c r="O610" s="420">
        <f t="shared" si="173"/>
        <v>0</v>
      </c>
      <c r="P610" s="454"/>
      <c r="R610" s="454"/>
    </row>
    <row r="611" spans="1:18" s="402" customFormat="1" ht="74.25" customHeight="1" x14ac:dyDescent="0.2">
      <c r="A611" s="414">
        <v>250210</v>
      </c>
      <c r="B611" s="432" t="s">
        <v>1089</v>
      </c>
      <c r="C611" s="433" t="s">
        <v>23</v>
      </c>
      <c r="D611" s="433">
        <v>22</v>
      </c>
      <c r="E611" s="433">
        <v>191.87</v>
      </c>
      <c r="F611" s="490">
        <f t="shared" si="180"/>
        <v>4221.1400000000003</v>
      </c>
      <c r="G611" s="483">
        <v>22</v>
      </c>
      <c r="H611" s="433">
        <v>4221.1400000000003</v>
      </c>
      <c r="I611" s="435">
        <f>IF(F611=0,0,H611/F611)</f>
        <v>1</v>
      </c>
      <c r="J611" s="433">
        <f>D611-G611</f>
        <v>0</v>
      </c>
      <c r="K611" s="433">
        <f>ROUND((J611*E611),2)</f>
        <v>0</v>
      </c>
      <c r="L611" s="435">
        <f>IF(F611=0,0,K611/F611)</f>
        <v>0</v>
      </c>
      <c r="M611" s="454">
        <f t="shared" si="178"/>
        <v>4221.1400000000003</v>
      </c>
      <c r="N611" s="420"/>
      <c r="O611" s="420">
        <f t="shared" si="173"/>
        <v>0</v>
      </c>
      <c r="P611" s="454"/>
      <c r="R611" s="454"/>
    </row>
    <row r="612" spans="1:18" ht="15.75" x14ac:dyDescent="0.2">
      <c r="A612" s="473"/>
      <c r="B612" s="475" t="s">
        <v>1090</v>
      </c>
      <c r="C612" s="471">
        <v>0</v>
      </c>
      <c r="D612" s="424">
        <v>0</v>
      </c>
      <c r="E612" s="424"/>
      <c r="F612" s="427"/>
      <c r="G612" s="440"/>
      <c r="H612" s="437"/>
      <c r="I612" s="431"/>
      <c r="J612" s="430"/>
      <c r="K612" s="425"/>
      <c r="L612" s="429"/>
      <c r="M612" s="454">
        <f t="shared" si="178"/>
        <v>0</v>
      </c>
      <c r="N612" s="420"/>
      <c r="O612" s="420">
        <f t="shared" si="173"/>
        <v>0</v>
      </c>
      <c r="P612" s="420"/>
      <c r="R612" s="420"/>
    </row>
    <row r="613" spans="1:18" s="402" customFormat="1" ht="31.5" x14ac:dyDescent="0.2">
      <c r="A613" s="414">
        <v>250211</v>
      </c>
      <c r="B613" s="432" t="s">
        <v>1091</v>
      </c>
      <c r="C613" s="433" t="s">
        <v>23</v>
      </c>
      <c r="D613" s="433">
        <v>36</v>
      </c>
      <c r="E613" s="433">
        <v>47.99</v>
      </c>
      <c r="F613" s="490">
        <f t="shared" si="180"/>
        <v>1727.64</v>
      </c>
      <c r="G613" s="483">
        <v>36</v>
      </c>
      <c r="H613" s="433">
        <v>1727.64</v>
      </c>
      <c r="I613" s="435">
        <f>IF(F613=0,0,H613/F613)</f>
        <v>1</v>
      </c>
      <c r="J613" s="433">
        <f>D613-G613</f>
        <v>0</v>
      </c>
      <c r="K613" s="433">
        <f>ROUND((J613*E613),2)</f>
        <v>0</v>
      </c>
      <c r="L613" s="435">
        <f>IF(F613=0,0,K613/F613)</f>
        <v>0</v>
      </c>
      <c r="M613" s="454">
        <f t="shared" si="178"/>
        <v>1727.64</v>
      </c>
      <c r="N613" s="420"/>
      <c r="O613" s="420">
        <f t="shared" si="173"/>
        <v>0</v>
      </c>
      <c r="P613" s="454"/>
      <c r="R613" s="454"/>
    </row>
    <row r="614" spans="1:18" s="402" customFormat="1" ht="31.5" x14ac:dyDescent="0.2">
      <c r="A614" s="414">
        <v>250212</v>
      </c>
      <c r="B614" s="432" t="s">
        <v>1092</v>
      </c>
      <c r="C614" s="433" t="s">
        <v>23</v>
      </c>
      <c r="D614" s="433">
        <v>2</v>
      </c>
      <c r="E614" s="433">
        <v>57.6</v>
      </c>
      <c r="F614" s="490">
        <f t="shared" si="180"/>
        <v>115.2</v>
      </c>
      <c r="G614" s="483">
        <v>2</v>
      </c>
      <c r="H614" s="433">
        <v>115.2</v>
      </c>
      <c r="I614" s="435">
        <f>IF(F614=0,0,H614/F614)</f>
        <v>1</v>
      </c>
      <c r="J614" s="433">
        <f>D614-G614</f>
        <v>0</v>
      </c>
      <c r="K614" s="433">
        <f>ROUND((J614*E614),2)</f>
        <v>0</v>
      </c>
      <c r="L614" s="435">
        <f>IF(F614=0,0,K614/F614)</f>
        <v>0</v>
      </c>
      <c r="M614" s="454">
        <f t="shared" si="178"/>
        <v>115.2</v>
      </c>
      <c r="N614" s="420"/>
      <c r="O614" s="420">
        <f t="shared" si="173"/>
        <v>0</v>
      </c>
      <c r="P614" s="454"/>
      <c r="R614" s="454"/>
    </row>
    <row r="615" spans="1:18" s="402" customFormat="1" ht="15.75" x14ac:dyDescent="0.2">
      <c r="A615" s="414">
        <v>250213</v>
      </c>
      <c r="B615" s="432" t="s">
        <v>1093</v>
      </c>
      <c r="C615" s="433" t="s">
        <v>23</v>
      </c>
      <c r="D615" s="433">
        <v>2</v>
      </c>
      <c r="E615" s="433">
        <v>70.48</v>
      </c>
      <c r="F615" s="490">
        <f t="shared" si="180"/>
        <v>140.96</v>
      </c>
      <c r="G615" s="483">
        <v>2</v>
      </c>
      <c r="H615" s="433">
        <v>140.96</v>
      </c>
      <c r="I615" s="435">
        <f>IF(F615=0,0,H615/F615)</f>
        <v>1</v>
      </c>
      <c r="J615" s="433">
        <f>D615-G615</f>
        <v>0</v>
      </c>
      <c r="K615" s="433">
        <f>ROUND((J615*E615),2)</f>
        <v>0</v>
      </c>
      <c r="L615" s="435">
        <f>IF(F615=0,0,K615/F615)</f>
        <v>0</v>
      </c>
      <c r="M615" s="454">
        <f t="shared" si="178"/>
        <v>140.96</v>
      </c>
      <c r="N615" s="420"/>
      <c r="O615" s="420">
        <f t="shared" si="173"/>
        <v>0</v>
      </c>
      <c r="P615" s="454"/>
      <c r="R615" s="454"/>
    </row>
    <row r="616" spans="1:18" s="402" customFormat="1" ht="31.5" x14ac:dyDescent="0.2">
      <c r="A616" s="414">
        <v>250214</v>
      </c>
      <c r="B616" s="432" t="s">
        <v>1094</v>
      </c>
      <c r="C616" s="433" t="s">
        <v>23</v>
      </c>
      <c r="D616" s="433">
        <v>2</v>
      </c>
      <c r="E616" s="433">
        <v>105.31</v>
      </c>
      <c r="F616" s="490">
        <f t="shared" si="180"/>
        <v>210.62</v>
      </c>
      <c r="G616" s="483">
        <v>2</v>
      </c>
      <c r="H616" s="433">
        <v>210.62</v>
      </c>
      <c r="I616" s="435">
        <f>IF(F616=0,0,H616/F616)</f>
        <v>1</v>
      </c>
      <c r="J616" s="433">
        <f>D616-G616</f>
        <v>0</v>
      </c>
      <c r="K616" s="433">
        <f>ROUND((J616*E616),2)</f>
        <v>0</v>
      </c>
      <c r="L616" s="435">
        <f>IF(F616=0,0,K616/F616)</f>
        <v>0</v>
      </c>
      <c r="M616" s="454">
        <f t="shared" si="178"/>
        <v>210.62</v>
      </c>
      <c r="N616" s="420"/>
      <c r="O616" s="420">
        <f t="shared" si="173"/>
        <v>0</v>
      </c>
      <c r="P616" s="454"/>
      <c r="R616" s="454"/>
    </row>
    <row r="617" spans="1:18" s="402" customFormat="1" ht="31.5" x14ac:dyDescent="0.2">
      <c r="A617" s="414">
        <v>250215</v>
      </c>
      <c r="B617" s="432" t="s">
        <v>1095</v>
      </c>
      <c r="C617" s="433" t="s">
        <v>23</v>
      </c>
      <c r="D617" s="433">
        <v>4</v>
      </c>
      <c r="E617" s="433">
        <v>150.53</v>
      </c>
      <c r="F617" s="490">
        <f t="shared" si="180"/>
        <v>602.12</v>
      </c>
      <c r="G617" s="483">
        <v>4</v>
      </c>
      <c r="H617" s="433">
        <v>602.12</v>
      </c>
      <c r="I617" s="435">
        <f>IF(F617=0,0,H617/F617)</f>
        <v>1</v>
      </c>
      <c r="J617" s="433">
        <f>D617-G617</f>
        <v>0</v>
      </c>
      <c r="K617" s="433">
        <f>ROUND((J617*E617),2)</f>
        <v>0</v>
      </c>
      <c r="L617" s="435">
        <f>IF(F617=0,0,K617/F617)</f>
        <v>0</v>
      </c>
      <c r="M617" s="454">
        <f t="shared" si="178"/>
        <v>602.12</v>
      </c>
      <c r="N617" s="420"/>
      <c r="O617" s="420">
        <f t="shared" si="173"/>
        <v>0</v>
      </c>
      <c r="P617" s="454"/>
      <c r="R617" s="454"/>
    </row>
    <row r="618" spans="1:18" ht="15.75" x14ac:dyDescent="0.2">
      <c r="A618" s="473"/>
      <c r="B618" s="475" t="s">
        <v>1096</v>
      </c>
      <c r="C618" s="471">
        <v>0</v>
      </c>
      <c r="D618" s="424">
        <v>0</v>
      </c>
      <c r="E618" s="424"/>
      <c r="F618" s="427"/>
      <c r="G618" s="480"/>
      <c r="H618" s="437"/>
      <c r="I618" s="431"/>
      <c r="J618" s="430"/>
      <c r="K618" s="425"/>
      <c r="L618" s="429"/>
      <c r="M618" s="454">
        <f t="shared" si="178"/>
        <v>0</v>
      </c>
      <c r="N618" s="420"/>
      <c r="O618" s="420">
        <f t="shared" si="173"/>
        <v>0</v>
      </c>
      <c r="P618" s="420"/>
      <c r="R618" s="420"/>
    </row>
    <row r="619" spans="1:18" s="402" customFormat="1" ht="63" x14ac:dyDescent="0.2">
      <c r="A619" s="436">
        <v>250216</v>
      </c>
      <c r="B619" s="439" t="s">
        <v>1097</v>
      </c>
      <c r="C619" s="424" t="s">
        <v>23</v>
      </c>
      <c r="D619" s="424">
        <v>2</v>
      </c>
      <c r="E619" s="424">
        <v>2671.21</v>
      </c>
      <c r="F619" s="491">
        <f t="shared" si="180"/>
        <v>5342.42</v>
      </c>
      <c r="G619" s="440">
        <v>2</v>
      </c>
      <c r="H619" s="424">
        <v>5342.42</v>
      </c>
      <c r="I619" s="431">
        <f>IF(F619=0,0,H619/F619)</f>
        <v>1</v>
      </c>
      <c r="J619" s="424">
        <f>D619-G619</f>
        <v>0</v>
      </c>
      <c r="K619" s="424">
        <f>ROUND((J619*E619),2)</f>
        <v>0</v>
      </c>
      <c r="L619" s="435">
        <f>IF(F619=0,0,K619/F619)</f>
        <v>0</v>
      </c>
      <c r="M619" s="454">
        <f t="shared" si="178"/>
        <v>5342.42</v>
      </c>
      <c r="N619" s="420"/>
      <c r="O619" s="420">
        <f t="shared" si="173"/>
        <v>0</v>
      </c>
      <c r="P619" s="454"/>
      <c r="R619" s="454"/>
    </row>
    <row r="620" spans="1:18" ht="15.75" x14ac:dyDescent="0.2">
      <c r="A620" s="473"/>
      <c r="B620" s="475" t="s">
        <v>782</v>
      </c>
      <c r="C620" s="471">
        <v>0</v>
      </c>
      <c r="D620" s="424">
        <v>0</v>
      </c>
      <c r="E620" s="424"/>
      <c r="F620" s="427"/>
      <c r="G620" s="440"/>
      <c r="H620" s="437"/>
      <c r="I620" s="431"/>
      <c r="J620" s="430"/>
      <c r="K620" s="425"/>
      <c r="L620" s="429"/>
      <c r="M620" s="454">
        <f t="shared" si="178"/>
        <v>0</v>
      </c>
      <c r="N620" s="420"/>
      <c r="O620" s="420">
        <f t="shared" si="173"/>
        <v>0</v>
      </c>
      <c r="P620" s="420"/>
      <c r="R620" s="420"/>
    </row>
    <row r="621" spans="1:18" ht="15.75" x14ac:dyDescent="0.2">
      <c r="A621" s="473"/>
      <c r="B621" s="475" t="s">
        <v>1098</v>
      </c>
      <c r="C621" s="471">
        <v>0</v>
      </c>
      <c r="D621" s="424">
        <v>0</v>
      </c>
      <c r="E621" s="424"/>
      <c r="F621" s="427"/>
      <c r="G621" s="440"/>
      <c r="H621" s="437"/>
      <c r="I621" s="431"/>
      <c r="J621" s="430"/>
      <c r="K621" s="425"/>
      <c r="L621" s="429"/>
      <c r="M621" s="454">
        <f t="shared" si="178"/>
        <v>0</v>
      </c>
      <c r="N621" s="420"/>
      <c r="O621" s="420">
        <f t="shared" si="173"/>
        <v>0</v>
      </c>
      <c r="P621" s="420"/>
      <c r="R621" s="420"/>
    </row>
    <row r="622" spans="1:18" s="402" customFormat="1" ht="47.25" x14ac:dyDescent="0.2">
      <c r="A622" s="414">
        <v>250217</v>
      </c>
      <c r="B622" s="432" t="s">
        <v>784</v>
      </c>
      <c r="C622" s="433" t="s">
        <v>35</v>
      </c>
      <c r="D622" s="433">
        <v>16.260000000000002</v>
      </c>
      <c r="E622" s="433">
        <v>15.27</v>
      </c>
      <c r="F622" s="490">
        <f t="shared" ref="F622:F625" si="181">ROUND((E622*D622),2)</f>
        <v>248.29</v>
      </c>
      <c r="G622" s="483">
        <v>16.260000000000002</v>
      </c>
      <c r="H622" s="433">
        <v>248.29020000000003</v>
      </c>
      <c r="I622" s="435">
        <f>IF(F622=0,0,H622/F622)</f>
        <v>1.0000008055096863</v>
      </c>
      <c r="J622" s="433">
        <f>D622-G622</f>
        <v>0</v>
      </c>
      <c r="K622" s="433">
        <f>ROUND((J622*E622),2)</f>
        <v>0</v>
      </c>
      <c r="L622" s="435">
        <f>IF(F622=0,0,K622/F622)</f>
        <v>0</v>
      </c>
      <c r="M622" s="454">
        <f t="shared" si="178"/>
        <v>248.29</v>
      </c>
      <c r="N622" s="420"/>
      <c r="O622" s="420">
        <f t="shared" si="173"/>
        <v>0</v>
      </c>
      <c r="P622" s="454"/>
      <c r="R622" s="454"/>
    </row>
    <row r="623" spans="1:18" s="402" customFormat="1" ht="47.25" x14ac:dyDescent="0.2">
      <c r="A623" s="414">
        <v>250218</v>
      </c>
      <c r="B623" s="432" t="s">
        <v>845</v>
      </c>
      <c r="C623" s="433" t="s">
        <v>35</v>
      </c>
      <c r="D623" s="433">
        <v>112.84</v>
      </c>
      <c r="E623" s="433">
        <v>21.33</v>
      </c>
      <c r="F623" s="490">
        <f t="shared" si="181"/>
        <v>2406.88</v>
      </c>
      <c r="G623" s="483">
        <v>112.84</v>
      </c>
      <c r="H623" s="433">
        <v>2406.8771999999999</v>
      </c>
      <c r="I623" s="435">
        <f>IF(F623=0,0,H623/F623)</f>
        <v>0.99999883666821765</v>
      </c>
      <c r="J623" s="433">
        <f>D623-G623</f>
        <v>0</v>
      </c>
      <c r="K623" s="433">
        <f>ROUND((J623*E623),2)</f>
        <v>0</v>
      </c>
      <c r="L623" s="435">
        <f>IF(F623=0,0,K623/F623)</f>
        <v>0</v>
      </c>
      <c r="M623" s="454">
        <f t="shared" si="178"/>
        <v>2406.88</v>
      </c>
      <c r="N623" s="420"/>
      <c r="O623" s="420">
        <f t="shared" si="173"/>
        <v>0</v>
      </c>
      <c r="P623" s="454"/>
      <c r="R623" s="454"/>
    </row>
    <row r="624" spans="1:18" s="402" customFormat="1" ht="47.25" x14ac:dyDescent="0.2">
      <c r="A624" s="414">
        <v>250219</v>
      </c>
      <c r="B624" s="432" t="s">
        <v>1099</v>
      </c>
      <c r="C624" s="433" t="s">
        <v>35</v>
      </c>
      <c r="D624" s="433">
        <v>16.260000000000002</v>
      </c>
      <c r="E624" s="433">
        <v>32.42</v>
      </c>
      <c r="F624" s="490">
        <f t="shared" si="181"/>
        <v>527.15</v>
      </c>
      <c r="G624" s="483">
        <v>16.260000000000002</v>
      </c>
      <c r="H624" s="433">
        <v>527.14920000000006</v>
      </c>
      <c r="I624" s="435">
        <f>IF(F624=0,0,H624/F624)</f>
        <v>0.99999848240538758</v>
      </c>
      <c r="J624" s="433">
        <f>D624-G624</f>
        <v>0</v>
      </c>
      <c r="K624" s="433">
        <f>ROUND((J624*E624),2)</f>
        <v>0</v>
      </c>
      <c r="L624" s="435">
        <f>IF(F624=0,0,K624/F624)</f>
        <v>0</v>
      </c>
      <c r="M624" s="454">
        <f t="shared" si="178"/>
        <v>527.15</v>
      </c>
      <c r="N624" s="420"/>
      <c r="O624" s="420">
        <f t="shared" si="173"/>
        <v>0</v>
      </c>
      <c r="P624" s="454"/>
      <c r="R624" s="454"/>
    </row>
    <row r="625" spans="1:21" s="402" customFormat="1" ht="47.25" x14ac:dyDescent="0.2">
      <c r="A625" s="414">
        <v>250220</v>
      </c>
      <c r="B625" s="432" t="s">
        <v>786</v>
      </c>
      <c r="C625" s="433" t="s">
        <v>35</v>
      </c>
      <c r="D625" s="433">
        <v>112.84</v>
      </c>
      <c r="E625" s="433">
        <v>23.93</v>
      </c>
      <c r="F625" s="490">
        <f t="shared" si="181"/>
        <v>2700.26</v>
      </c>
      <c r="G625" s="483">
        <v>112.84</v>
      </c>
      <c r="H625" s="433">
        <v>2700.2611999999999</v>
      </c>
      <c r="I625" s="435">
        <f>IF(F625=0,0,H625/F625)</f>
        <v>1.0000004444016501</v>
      </c>
      <c r="J625" s="433">
        <f>D625-G625</f>
        <v>0</v>
      </c>
      <c r="K625" s="433">
        <f>ROUND((J625*E625),2)</f>
        <v>0</v>
      </c>
      <c r="L625" s="435">
        <f>IF(F625=0,0,K625/F625)</f>
        <v>0</v>
      </c>
      <c r="M625" s="454">
        <f t="shared" si="178"/>
        <v>2700.26</v>
      </c>
      <c r="N625" s="420"/>
      <c r="O625" s="420">
        <f>9.68-1.32</f>
        <v>8.36</v>
      </c>
      <c r="P625" s="454"/>
      <c r="R625" s="454"/>
    </row>
    <row r="626" spans="1:21" ht="15.75" x14ac:dyDescent="0.2">
      <c r="A626" s="473"/>
      <c r="B626" s="475" t="s">
        <v>796</v>
      </c>
      <c r="C626" s="471">
        <v>0</v>
      </c>
      <c r="D626" s="424">
        <v>0</v>
      </c>
      <c r="E626" s="424"/>
      <c r="F626" s="427"/>
      <c r="G626" s="440"/>
      <c r="H626" s="437"/>
      <c r="I626" s="431"/>
      <c r="J626" s="430"/>
      <c r="K626" s="425"/>
      <c r="L626" s="429"/>
      <c r="M626" s="454">
        <f t="shared" si="178"/>
        <v>0</v>
      </c>
      <c r="N626" s="420"/>
      <c r="O626" s="420">
        <f t="shared" si="173"/>
        <v>0</v>
      </c>
      <c r="P626" s="420"/>
      <c r="R626" s="420"/>
    </row>
    <row r="627" spans="1:21" ht="15.75" x14ac:dyDescent="0.2">
      <c r="A627" s="473"/>
      <c r="B627" s="475" t="s">
        <v>1100</v>
      </c>
      <c r="C627" s="471">
        <v>0</v>
      </c>
      <c r="D627" s="424">
        <v>0</v>
      </c>
      <c r="E627" s="424"/>
      <c r="F627" s="427"/>
      <c r="G627" s="440"/>
      <c r="H627" s="437"/>
      <c r="I627" s="431"/>
      <c r="J627" s="430"/>
      <c r="K627" s="425"/>
      <c r="L627" s="429"/>
      <c r="M627" s="454">
        <f t="shared" si="178"/>
        <v>0</v>
      </c>
      <c r="N627" s="420"/>
      <c r="O627" s="420">
        <f t="shared" si="173"/>
        <v>0</v>
      </c>
      <c r="P627" s="420"/>
      <c r="R627" s="420"/>
    </row>
    <row r="628" spans="1:21" s="402" customFormat="1" ht="15.75" x14ac:dyDescent="0.2">
      <c r="A628" s="414">
        <v>250221</v>
      </c>
      <c r="B628" s="432" t="s">
        <v>1101</v>
      </c>
      <c r="C628" s="433" t="s">
        <v>23</v>
      </c>
      <c r="D628" s="433">
        <v>4</v>
      </c>
      <c r="E628" s="433">
        <v>30377.63</v>
      </c>
      <c r="F628" s="490">
        <f t="shared" ref="F628" si="182">ROUND((E628*D628),2)</f>
        <v>121510.52</v>
      </c>
      <c r="G628" s="483">
        <v>4</v>
      </c>
      <c r="H628" s="433">
        <v>121510.52</v>
      </c>
      <c r="I628" s="435">
        <f>IF(F628=0,0,H628/F628)</f>
        <v>1</v>
      </c>
      <c r="J628" s="433">
        <f>D628-G628</f>
        <v>0</v>
      </c>
      <c r="K628" s="433">
        <f>ROUND((J628*E628),2)</f>
        <v>0</v>
      </c>
      <c r="L628" s="435">
        <f>IF(F628=0,0,K628/F628)</f>
        <v>0</v>
      </c>
      <c r="M628" s="454">
        <f t="shared" si="178"/>
        <v>121510.52</v>
      </c>
      <c r="N628" s="420"/>
      <c r="O628" s="420">
        <f t="shared" si="173"/>
        <v>0</v>
      </c>
      <c r="P628" s="454"/>
      <c r="R628" s="454"/>
    </row>
    <row r="629" spans="1:21" ht="15.75" x14ac:dyDescent="0.2">
      <c r="A629" s="473"/>
      <c r="B629" s="475" t="s">
        <v>881</v>
      </c>
      <c r="C629" s="471">
        <v>0</v>
      </c>
      <c r="D629" s="424">
        <v>0</v>
      </c>
      <c r="E629" s="424"/>
      <c r="F629" s="427"/>
      <c r="G629" s="440"/>
      <c r="H629" s="437"/>
      <c r="I629" s="431"/>
      <c r="J629" s="430"/>
      <c r="K629" s="425"/>
      <c r="L629" s="429"/>
      <c r="M629" s="454">
        <f t="shared" si="178"/>
        <v>0</v>
      </c>
      <c r="N629" s="420"/>
      <c r="O629" s="420">
        <f t="shared" si="173"/>
        <v>0</v>
      </c>
      <c r="P629" s="420"/>
      <c r="R629" s="420"/>
    </row>
    <row r="630" spans="1:21" ht="15.75" x14ac:dyDescent="0.2">
      <c r="A630" s="473"/>
      <c r="B630" s="475" t="s">
        <v>1102</v>
      </c>
      <c r="C630" s="471">
        <v>0</v>
      </c>
      <c r="D630" s="424">
        <v>0</v>
      </c>
      <c r="E630" s="424"/>
      <c r="F630" s="427"/>
      <c r="G630" s="440"/>
      <c r="H630" s="437"/>
      <c r="I630" s="431"/>
      <c r="J630" s="430"/>
      <c r="K630" s="425"/>
      <c r="L630" s="429"/>
      <c r="M630" s="454">
        <f t="shared" si="178"/>
        <v>0</v>
      </c>
      <c r="N630" s="420"/>
      <c r="O630" s="420">
        <f t="shared" si="173"/>
        <v>0</v>
      </c>
      <c r="P630" s="420"/>
      <c r="R630" s="420"/>
    </row>
    <row r="631" spans="1:21" s="402" customFormat="1" ht="31.5" x14ac:dyDescent="0.2">
      <c r="A631" s="414">
        <v>250222</v>
      </c>
      <c r="B631" s="432" t="s">
        <v>1103</v>
      </c>
      <c r="C631" s="433" t="s">
        <v>23</v>
      </c>
      <c r="D631" s="433">
        <v>2</v>
      </c>
      <c r="E631" s="433">
        <v>186.99</v>
      </c>
      <c r="F631" s="490">
        <f t="shared" ref="F631" si="183">ROUND((E631*D631),2)</f>
        <v>373.98</v>
      </c>
      <c r="G631" s="483">
        <v>2</v>
      </c>
      <c r="H631" s="433">
        <v>373.98</v>
      </c>
      <c r="I631" s="435">
        <f>IF(F631=0,0,H631/F631)</f>
        <v>1</v>
      </c>
      <c r="J631" s="433">
        <f>D631-G631</f>
        <v>0</v>
      </c>
      <c r="K631" s="433">
        <f>ROUND((J631*E631),2)</f>
        <v>0</v>
      </c>
      <c r="L631" s="435">
        <f>IF(F631=0,0,K631/F631)</f>
        <v>0</v>
      </c>
      <c r="M631" s="454">
        <f t="shared" si="178"/>
        <v>373.98</v>
      </c>
      <c r="N631" s="420"/>
      <c r="O631" s="420">
        <f t="shared" si="173"/>
        <v>0</v>
      </c>
      <c r="P631" s="454"/>
      <c r="R631" s="454"/>
    </row>
    <row r="632" spans="1:21" ht="15.75" x14ac:dyDescent="0.2">
      <c r="A632" s="473"/>
      <c r="B632" s="475" t="s">
        <v>1104</v>
      </c>
      <c r="C632" s="471">
        <v>0</v>
      </c>
      <c r="D632" s="424">
        <v>0</v>
      </c>
      <c r="E632" s="424"/>
      <c r="F632" s="427"/>
      <c r="G632" s="440"/>
      <c r="H632" s="437"/>
      <c r="I632" s="431"/>
      <c r="J632" s="430"/>
      <c r="K632" s="425"/>
      <c r="L632" s="429"/>
      <c r="M632" s="454">
        <f t="shared" si="178"/>
        <v>0</v>
      </c>
      <c r="N632" s="420"/>
      <c r="O632" s="420">
        <f t="shared" si="173"/>
        <v>0</v>
      </c>
      <c r="P632" s="420"/>
      <c r="R632" s="420"/>
    </row>
    <row r="633" spans="1:21" s="402" customFormat="1" ht="15.75" x14ac:dyDescent="0.2">
      <c r="A633" s="414">
        <v>250223</v>
      </c>
      <c r="B633" s="432" t="s">
        <v>1105</v>
      </c>
      <c r="C633" s="433" t="s">
        <v>35</v>
      </c>
      <c r="D633" s="433">
        <v>146.09</v>
      </c>
      <c r="E633" s="433">
        <v>14.08</v>
      </c>
      <c r="F633" s="490">
        <f t="shared" ref="F633" si="184">ROUND((E633*D633),2)</f>
        <v>2056.9499999999998</v>
      </c>
      <c r="G633" s="483">
        <v>146.09</v>
      </c>
      <c r="H633" s="433">
        <v>2056.9472000000001</v>
      </c>
      <c r="I633" s="435">
        <f>IF(F633=0,0,H633/F633)</f>
        <v>0.99999863876127293</v>
      </c>
      <c r="J633" s="433">
        <f>D633-G633</f>
        <v>0</v>
      </c>
      <c r="K633" s="433">
        <f>ROUND((J633*E633),2)</f>
        <v>0</v>
      </c>
      <c r="L633" s="435">
        <f>IF(F633=0,0,K633/F633)</f>
        <v>0</v>
      </c>
      <c r="M633" s="454">
        <f t="shared" si="178"/>
        <v>2056.9499999999998</v>
      </c>
      <c r="N633" s="420"/>
      <c r="O633" s="420">
        <f t="shared" si="173"/>
        <v>0</v>
      </c>
      <c r="P633" s="454"/>
      <c r="R633" s="454"/>
    </row>
    <row r="634" spans="1:21" ht="15.75" x14ac:dyDescent="0.2">
      <c r="A634" s="466"/>
      <c r="B634" s="467" t="s">
        <v>1106</v>
      </c>
      <c r="C634" s="468"/>
      <c r="D634" s="424"/>
      <c r="E634" s="424"/>
      <c r="F634" s="427">
        <f>SUM(F445:F633)</f>
        <v>1248527.0199999991</v>
      </c>
      <c r="G634" s="440"/>
      <c r="H634" s="425">
        <v>1137312.8097000001</v>
      </c>
      <c r="I634" s="431">
        <f>H634/F634</f>
        <v>0.9109236656328038</v>
      </c>
      <c r="J634" s="430"/>
      <c r="K634" s="425">
        <f>SUM(K445:K633)</f>
        <v>111232.22100000005</v>
      </c>
      <c r="L634" s="429">
        <f>K634/F634</f>
        <v>8.9090759926044802E-2</v>
      </c>
      <c r="M634" s="454">
        <f t="shared" si="178"/>
        <v>1137294.798999999</v>
      </c>
      <c r="N634" s="420"/>
      <c r="O634" s="420">
        <f t="shared" si="173"/>
        <v>111232.22100000005</v>
      </c>
      <c r="P634" s="420"/>
      <c r="R634" s="420"/>
    </row>
    <row r="635" spans="1:21" ht="15.75" x14ac:dyDescent="0.2">
      <c r="A635" s="436"/>
      <c r="B635" s="422"/>
      <c r="C635" s="424"/>
      <c r="D635" s="424"/>
      <c r="E635" s="424"/>
      <c r="F635" s="489"/>
      <c r="G635" s="440"/>
      <c r="H635" s="437"/>
      <c r="I635" s="431"/>
      <c r="J635" s="430"/>
      <c r="K635" s="425"/>
      <c r="L635" s="429"/>
      <c r="M635" s="420"/>
      <c r="N635" s="420"/>
      <c r="O635" s="420">
        <f t="shared" si="173"/>
        <v>0</v>
      </c>
      <c r="P635" s="420"/>
      <c r="R635" s="420"/>
    </row>
    <row r="636" spans="1:21" s="393" customFormat="1" ht="15.75" customHeight="1" thickBot="1" x14ac:dyDescent="0.3">
      <c r="A636" s="444"/>
      <c r="B636" s="445"/>
      <c r="C636" s="444"/>
      <c r="D636" s="547" t="s">
        <v>115</v>
      </c>
      <c r="E636" s="547"/>
      <c r="F636" s="548"/>
      <c r="G636" s="589" t="s">
        <v>116</v>
      </c>
      <c r="H636" s="589"/>
      <c r="I636" s="584"/>
      <c r="J636" s="582" t="s">
        <v>117</v>
      </c>
      <c r="K636" s="583"/>
      <c r="L636" s="584"/>
      <c r="M636" s="420"/>
      <c r="N636" s="420"/>
      <c r="O636" s="420">
        <f t="shared" si="173"/>
        <v>0</v>
      </c>
      <c r="P636" s="420"/>
      <c r="R636" s="420"/>
    </row>
    <row r="637" spans="1:21" s="393" customFormat="1" ht="16.5" thickBot="1" x14ac:dyDescent="0.3">
      <c r="A637" s="446"/>
      <c r="B637" s="447" t="s">
        <v>94</v>
      </c>
      <c r="C637" s="495"/>
      <c r="D637" s="585">
        <f>SUM(F54,F73,F82,F106,F119,F125,F137,F144,F153,F158,F167,F179,F191,F224,F245,F259,F286,F297,F306,F369,F376,F396,F404,F441,F634)</f>
        <v>7543565.379999999</v>
      </c>
      <c r="E637" s="585"/>
      <c r="F637" s="585"/>
      <c r="G637" s="585">
        <f>SUM(H54,H73,H82,H106,H119,H125,H137,H144,H153,H158,H167,H179,H191,H224,H245,H259,H286,H297,H306,H369,H376,H396,H404,H441,H634)+1.12</f>
        <v>6886199.4310158659</v>
      </c>
      <c r="H637" s="585"/>
      <c r="I637" s="496">
        <f>IF(G637=0,0,G637/D637)</f>
        <v>0.91285739357055418</v>
      </c>
      <c r="J637" s="592">
        <f>D637-G637</f>
        <v>657365.94898413308</v>
      </c>
      <c r="K637" s="593"/>
      <c r="L637" s="448">
        <f>IF(J637=0,0,J637/D637)</f>
        <v>8.7142606429445851E-2</v>
      </c>
      <c r="M637" s="420"/>
      <c r="N637" s="420">
        <f>SUM(N9:N636)</f>
        <v>645055.59598651377</v>
      </c>
      <c r="O637" s="420"/>
      <c r="P637" s="420"/>
      <c r="R637" s="420"/>
    </row>
    <row r="638" spans="1:21" x14ac:dyDescent="0.2">
      <c r="N638" s="420"/>
      <c r="O638" s="420"/>
      <c r="P638" s="420"/>
      <c r="R638" s="420"/>
    </row>
    <row r="639" spans="1:21" x14ac:dyDescent="0.2">
      <c r="N639" s="420"/>
      <c r="P639" s="420"/>
      <c r="R639" s="420"/>
    </row>
    <row r="640" spans="1:21" x14ac:dyDescent="0.2">
      <c r="D640" s="562"/>
      <c r="E640" s="562"/>
      <c r="G640" s="544"/>
      <c r="H640" s="544"/>
      <c r="I640" s="411"/>
      <c r="J640" s="544">
        <f>G637+J637</f>
        <v>7543565.379999999</v>
      </c>
      <c r="K640" s="544"/>
      <c r="L640" s="411"/>
      <c r="M640" s="411"/>
      <c r="N640" s="420"/>
      <c r="P640" s="420"/>
      <c r="R640" s="420"/>
      <c r="U640" s="386">
        <v>1254155.3568489999</v>
      </c>
    </row>
    <row r="641" spans="7:21" x14ac:dyDescent="0.2">
      <c r="N641" s="420">
        <v>7928469.5199999996</v>
      </c>
      <c r="P641" s="420"/>
      <c r="R641" s="420"/>
      <c r="U641" s="386">
        <v>1.1799999745562673E-2</v>
      </c>
    </row>
    <row r="642" spans="7:21" x14ac:dyDescent="0.2">
      <c r="J642" s="544"/>
      <c r="K642" s="544"/>
      <c r="N642" s="420">
        <v>7241356.2699999996</v>
      </c>
      <c r="P642" s="420"/>
      <c r="R642" s="420"/>
    </row>
    <row r="643" spans="7:21" x14ac:dyDescent="0.2">
      <c r="N643" s="420">
        <f>N641-N642</f>
        <v>687113.25</v>
      </c>
      <c r="P643" s="420"/>
      <c r="R643" s="420"/>
    </row>
    <row r="644" spans="7:21" x14ac:dyDescent="0.2">
      <c r="G644" s="544"/>
      <c r="H644" s="544"/>
      <c r="N644" s="420"/>
      <c r="P644" s="420"/>
      <c r="R644" s="420"/>
    </row>
    <row r="645" spans="7:21" x14ac:dyDescent="0.2">
      <c r="P645" s="420"/>
      <c r="R645" s="420"/>
    </row>
    <row r="646" spans="7:21" x14ac:dyDescent="0.2">
      <c r="P646" s="420"/>
      <c r="R646" s="420"/>
    </row>
    <row r="647" spans="7:21" x14ac:dyDescent="0.2">
      <c r="P647" s="420"/>
      <c r="R647" s="420"/>
    </row>
  </sheetData>
  <mergeCells count="26">
    <mergeCell ref="G644:H644"/>
    <mergeCell ref="J640:K640"/>
    <mergeCell ref="G637:H637"/>
    <mergeCell ref="J637:K637"/>
    <mergeCell ref="A6:F6"/>
    <mergeCell ref="J636:L636"/>
    <mergeCell ref="D637:F637"/>
    <mergeCell ref="J1:L1"/>
    <mergeCell ref="G636:I636"/>
    <mergeCell ref="K2:L2"/>
    <mergeCell ref="G640:H640"/>
    <mergeCell ref="J642:K642"/>
    <mergeCell ref="B3:F3"/>
    <mergeCell ref="D636:F636"/>
    <mergeCell ref="G2:I2"/>
    <mergeCell ref="H3:I3"/>
    <mergeCell ref="K3:L3"/>
    <mergeCell ref="B1:F2"/>
    <mergeCell ref="G1:I1"/>
    <mergeCell ref="D640:E640"/>
    <mergeCell ref="A5:C5"/>
    <mergeCell ref="D5:E5"/>
    <mergeCell ref="A4:F4"/>
    <mergeCell ref="G4:L4"/>
    <mergeCell ref="G5:I6"/>
    <mergeCell ref="J5:L6"/>
  </mergeCells>
  <phoneticPr fontId="41" type="noConversion"/>
  <printOptions horizontalCentered="1" gridLines="1"/>
  <pageMargins left="0.19685039370078741" right="0.19685039370078741" top="0.39370078740157483" bottom="0.39370078740157483" header="0.51181102362204722" footer="0.19685039370078741"/>
  <pageSetup paperSize="9" scale="42" orientation="landscape" r:id="rId1"/>
  <headerFooter alignWithMargins="0">
    <oddFooter>&amp;L&amp;"Arial,Itálico"Página&amp;P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S42"/>
  <sheetViews>
    <sheetView showZeros="0" view="pageBreakPreview" topLeftCell="A12" zoomScaleNormal="70" zoomScaleSheetLayoutView="100" workbookViewId="0">
      <selection activeCell="B10" sqref="B10"/>
    </sheetView>
  </sheetViews>
  <sheetFormatPr defaultColWidth="9.28515625" defaultRowHeight="12" x14ac:dyDescent="0.25"/>
  <cols>
    <col min="1" max="1" width="14.28515625" style="140" customWidth="1"/>
    <col min="2" max="2" width="52.42578125" style="140" customWidth="1"/>
    <col min="3" max="3" width="6" style="141" customWidth="1"/>
    <col min="4" max="4" width="9.28515625" style="141" customWidth="1"/>
    <col min="5" max="5" width="8.7109375" style="141" customWidth="1"/>
    <col min="6" max="6" width="10" style="141" customWidth="1"/>
    <col min="7" max="7" width="7.5703125" style="142" customWidth="1"/>
    <col min="8" max="8" width="9.28515625" style="142" customWidth="1"/>
    <col min="9" max="9" width="8.7109375" style="143" customWidth="1"/>
    <col min="10" max="11" width="11.28515625" style="107" hidden="1" customWidth="1"/>
    <col min="12" max="12" width="11.28515625" style="108" hidden="1" customWidth="1"/>
    <col min="13" max="18" width="0" style="109" hidden="1" customWidth="1"/>
    <col min="19" max="16384" width="9.28515625" style="109"/>
  </cols>
  <sheetData>
    <row r="1" spans="1:17" ht="17.100000000000001" customHeight="1" x14ac:dyDescent="0.25">
      <c r="A1" s="207"/>
      <c r="B1" s="208" t="s">
        <v>166</v>
      </c>
      <c r="C1" s="209"/>
      <c r="D1" s="209"/>
      <c r="E1" s="209"/>
      <c r="F1" s="209"/>
      <c r="G1" s="209"/>
      <c r="H1" s="209"/>
      <c r="I1" s="209"/>
    </row>
    <row r="2" spans="1:17" ht="15.75" x14ac:dyDescent="0.25">
      <c r="A2" s="207"/>
      <c r="B2" s="210" t="s">
        <v>167</v>
      </c>
      <c r="C2" s="211"/>
      <c r="D2" s="211"/>
      <c r="E2" s="211"/>
      <c r="F2" s="211"/>
      <c r="G2" s="212"/>
      <c r="H2" s="212"/>
      <c r="I2" s="213"/>
    </row>
    <row r="3" spans="1:17" ht="29.65" customHeight="1" x14ac:dyDescent="0.25">
      <c r="A3" s="207"/>
      <c r="B3" s="594" t="s">
        <v>168</v>
      </c>
      <c r="C3" s="594"/>
      <c r="D3" s="594"/>
      <c r="E3" s="594"/>
      <c r="F3" s="594"/>
      <c r="G3" s="594"/>
      <c r="H3" s="214"/>
      <c r="I3" s="214"/>
    </row>
    <row r="4" spans="1:17" ht="16.5" thickBot="1" x14ac:dyDescent="0.3">
      <c r="A4" s="207"/>
      <c r="B4" s="597" t="s">
        <v>169</v>
      </c>
      <c r="C4" s="597"/>
      <c r="D4" s="597"/>
      <c r="E4" s="597"/>
      <c r="F4" s="597"/>
      <c r="G4" s="597"/>
      <c r="H4" s="597"/>
      <c r="I4" s="597"/>
    </row>
    <row r="5" spans="1:17" ht="21.6" customHeight="1" thickBot="1" x14ac:dyDescent="0.3">
      <c r="A5" s="602" t="s">
        <v>174</v>
      </c>
      <c r="B5" s="603"/>
      <c r="C5" s="603"/>
      <c r="D5" s="603"/>
      <c r="E5" s="603"/>
      <c r="F5" s="603"/>
      <c r="G5" s="603"/>
      <c r="H5" s="603"/>
      <c r="I5" s="604"/>
    </row>
    <row r="6" spans="1:17" ht="13.5" customHeight="1" x14ac:dyDescent="0.25">
      <c r="A6" s="595" t="s">
        <v>74</v>
      </c>
      <c r="B6" s="600" t="s">
        <v>118</v>
      </c>
      <c r="C6" s="605" t="s">
        <v>147</v>
      </c>
      <c r="D6" s="613" t="s">
        <v>139</v>
      </c>
      <c r="E6" s="614"/>
      <c r="F6" s="614"/>
      <c r="G6" s="614"/>
      <c r="H6" s="598" t="s">
        <v>104</v>
      </c>
      <c r="I6" s="599"/>
      <c r="J6" s="202" t="s">
        <v>119</v>
      </c>
      <c r="K6" s="110" t="s">
        <v>120</v>
      </c>
      <c r="L6" s="110" t="s">
        <v>121</v>
      </c>
    </row>
    <row r="7" spans="1:17" ht="14.65" customHeight="1" thickBot="1" x14ac:dyDescent="0.3">
      <c r="A7" s="596"/>
      <c r="B7" s="601"/>
      <c r="C7" s="606"/>
      <c r="D7" s="615"/>
      <c r="E7" s="616"/>
      <c r="F7" s="616"/>
      <c r="G7" s="616"/>
      <c r="H7" s="205" t="s">
        <v>137</v>
      </c>
      <c r="I7" s="206" t="s">
        <v>138</v>
      </c>
      <c r="J7" s="200" t="s">
        <v>122</v>
      </c>
      <c r="K7" s="111" t="s">
        <v>122</v>
      </c>
      <c r="L7" s="111" t="s">
        <v>122</v>
      </c>
    </row>
    <row r="8" spans="1:17" ht="12.75" x14ac:dyDescent="0.2">
      <c r="A8" s="203" t="e">
        <f>#REF!</f>
        <v>#REF!</v>
      </c>
      <c r="B8" s="204" t="e">
        <f>#REF!</f>
        <v>#REF!</v>
      </c>
      <c r="C8" s="155"/>
      <c r="D8" s="155"/>
      <c r="E8" s="155"/>
      <c r="F8" s="155"/>
      <c r="G8" s="155"/>
      <c r="H8" s="155"/>
      <c r="I8" s="201"/>
      <c r="J8" s="116"/>
      <c r="K8" s="116"/>
      <c r="L8" s="116"/>
    </row>
    <row r="9" spans="1:17" ht="12.75" x14ac:dyDescent="0.2">
      <c r="A9" s="117"/>
      <c r="B9" s="118"/>
      <c r="C9" s="119"/>
      <c r="D9" s="119"/>
      <c r="E9" s="119"/>
      <c r="F9" s="119"/>
      <c r="G9" s="119"/>
      <c r="H9" s="157"/>
      <c r="I9" s="120"/>
      <c r="J9" s="116"/>
      <c r="K9" s="116"/>
      <c r="L9" s="116"/>
      <c r="M9" s="109" t="s">
        <v>145</v>
      </c>
    </row>
    <row r="10" spans="1:17" ht="62.1" customHeight="1" x14ac:dyDescent="0.25">
      <c r="A10" s="152" t="e">
        <f>#REF!</f>
        <v>#REF!</v>
      </c>
      <c r="B10" s="153" t="e">
        <f>#REF!</f>
        <v>#REF!</v>
      </c>
      <c r="C10" s="177" t="s">
        <v>147</v>
      </c>
      <c r="D10" s="150" t="s">
        <v>155</v>
      </c>
      <c r="E10" s="150" t="s">
        <v>157</v>
      </c>
      <c r="F10" s="150" t="s">
        <v>158</v>
      </c>
      <c r="G10" s="150" t="s">
        <v>159</v>
      </c>
      <c r="H10" s="156">
        <f>H23</f>
        <v>434.80800000000005</v>
      </c>
      <c r="I10" s="162">
        <f>I17</f>
        <v>434.80800000000005</v>
      </c>
      <c r="J10" s="116">
        <f>SUM(J19:J23)</f>
        <v>0</v>
      </c>
      <c r="K10" s="116">
        <f>SUM(K19:K23)</f>
        <v>0</v>
      </c>
      <c r="L10" s="116">
        <f>SUM(L19:L23)</f>
        <v>0</v>
      </c>
      <c r="M10" s="150" t="s">
        <v>136</v>
      </c>
      <c r="N10" s="150" t="s">
        <v>141</v>
      </c>
      <c r="O10" s="150" t="s">
        <v>142</v>
      </c>
      <c r="P10" s="150" t="s">
        <v>144</v>
      </c>
    </row>
    <row r="11" spans="1:17" ht="16.149999999999999" customHeight="1" x14ac:dyDescent="0.2">
      <c r="A11" s="121"/>
      <c r="B11" s="158" t="s">
        <v>150</v>
      </c>
      <c r="D11" s="123"/>
      <c r="E11" s="171">
        <v>0.6</v>
      </c>
      <c r="F11" s="171">
        <v>0.4</v>
      </c>
      <c r="G11" s="123"/>
      <c r="I11" s="124"/>
      <c r="J11" s="126">
        <f>J10+I11</f>
        <v>0</v>
      </c>
      <c r="K11" s="126">
        <f t="shared" ref="K11:L11" si="0">K10+J11</f>
        <v>0</v>
      </c>
      <c r="L11" s="126">
        <f t="shared" si="0"/>
        <v>0</v>
      </c>
      <c r="M11" s="125"/>
      <c r="N11" s="125"/>
      <c r="O11" s="150"/>
      <c r="P11" s="125"/>
    </row>
    <row r="12" spans="1:17" ht="16.149999999999999" customHeight="1" x14ac:dyDescent="0.2">
      <c r="A12" s="121"/>
      <c r="B12" s="180" t="s">
        <v>156</v>
      </c>
      <c r="D12" s="123"/>
      <c r="E12" s="179">
        <v>0.6</v>
      </c>
      <c r="F12" s="179">
        <v>0</v>
      </c>
      <c r="G12" s="123"/>
      <c r="I12" s="124"/>
      <c r="J12" s="126"/>
      <c r="K12" s="126"/>
      <c r="L12" s="126"/>
      <c r="M12" s="172"/>
      <c r="N12" s="172"/>
      <c r="O12" s="173"/>
      <c r="P12" s="125"/>
    </row>
    <row r="13" spans="1:17" ht="16.149999999999999" customHeight="1" x14ac:dyDescent="0.2">
      <c r="A13" s="121"/>
      <c r="B13" s="158"/>
      <c r="D13" s="123"/>
      <c r="E13" s="171"/>
      <c r="F13" s="171"/>
      <c r="G13" s="123"/>
      <c r="I13" s="124"/>
      <c r="J13" s="126"/>
      <c r="K13" s="126"/>
      <c r="L13" s="126"/>
      <c r="M13" s="172"/>
      <c r="N13" s="172"/>
      <c r="O13" s="173"/>
      <c r="P13" s="125"/>
    </row>
    <row r="14" spans="1:17" ht="25.5" customHeight="1" x14ac:dyDescent="0.25">
      <c r="A14" s="121"/>
      <c r="B14" s="159" t="s">
        <v>154</v>
      </c>
      <c r="D14" s="123"/>
      <c r="E14" s="125"/>
      <c r="F14" s="125"/>
      <c r="G14" s="123"/>
      <c r="H14" s="123"/>
      <c r="I14" s="124"/>
      <c r="J14" s="126"/>
      <c r="K14" s="126"/>
      <c r="L14" s="126"/>
      <c r="M14" s="22">
        <v>5.1100000000000003</v>
      </c>
      <c r="N14" s="22">
        <v>2.23</v>
      </c>
      <c r="O14" s="22">
        <v>2.23</v>
      </c>
      <c r="P14" s="125">
        <v>0</v>
      </c>
      <c r="Q14" s="163">
        <f>SUM(M14:P14)</f>
        <v>9.57</v>
      </c>
    </row>
    <row r="15" spans="1:17" ht="12" customHeight="1" x14ac:dyDescent="0.2">
      <c r="A15" s="121"/>
      <c r="B15" s="160" t="s">
        <v>148</v>
      </c>
      <c r="C15" s="157" t="s">
        <v>16</v>
      </c>
      <c r="D15" s="125">
        <v>437.52</v>
      </c>
      <c r="E15" s="125"/>
      <c r="F15" s="125"/>
      <c r="G15" s="123"/>
      <c r="H15" s="123"/>
      <c r="I15" s="124"/>
      <c r="J15" s="126"/>
      <c r="K15" s="126"/>
      <c r="L15" s="126"/>
      <c r="M15" s="165">
        <f>M14/Q14</f>
        <v>0.53396029258098221</v>
      </c>
      <c r="N15" s="165">
        <f>N14/Q14</f>
        <v>0.23301985370950887</v>
      </c>
      <c r="O15" s="165">
        <f>O14/Q14</f>
        <v>0.23301985370950887</v>
      </c>
      <c r="P15" s="125">
        <v>0</v>
      </c>
      <c r="Q15" s="164">
        <f t="shared" ref="Q15:Q17" si="1">SUM(M15:P15)</f>
        <v>0.99999999999999989</v>
      </c>
    </row>
    <row r="16" spans="1:17" ht="12" customHeight="1" x14ac:dyDescent="0.2">
      <c r="A16" s="121"/>
      <c r="B16" s="160" t="s">
        <v>149</v>
      </c>
      <c r="C16" s="157" t="s">
        <v>16</v>
      </c>
      <c r="D16" s="125">
        <v>287.16000000000003</v>
      </c>
      <c r="E16" s="125"/>
      <c r="F16" s="125"/>
      <c r="G16" s="123"/>
      <c r="H16" s="123"/>
      <c r="I16" s="124"/>
      <c r="J16" s="126"/>
      <c r="K16" s="126"/>
      <c r="L16" s="126"/>
      <c r="P16" s="125">
        <v>0</v>
      </c>
      <c r="Q16" s="163">
        <f t="shared" si="1"/>
        <v>0</v>
      </c>
    </row>
    <row r="17" spans="1:19" ht="12" customHeight="1" x14ac:dyDescent="0.2">
      <c r="A17" s="121"/>
      <c r="B17" s="161" t="s">
        <v>135</v>
      </c>
      <c r="C17" s="178" t="s">
        <v>16</v>
      </c>
      <c r="D17" s="123">
        <f>SUM(D15:D16)</f>
        <v>724.68000000000006</v>
      </c>
      <c r="E17" s="181">
        <f>E12*D17</f>
        <v>434.80800000000005</v>
      </c>
      <c r="F17" s="182">
        <f>F12*D17</f>
        <v>0</v>
      </c>
      <c r="G17" s="183">
        <f>SUM(E17:F17)</f>
        <v>434.80800000000005</v>
      </c>
      <c r="H17" s="175">
        <f>G17</f>
        <v>434.80800000000005</v>
      </c>
      <c r="I17" s="184">
        <f>SUM(H17)</f>
        <v>434.80800000000005</v>
      </c>
      <c r="J17" s="126"/>
      <c r="K17" s="126"/>
      <c r="L17" s="126"/>
      <c r="M17" s="109">
        <v>4.55</v>
      </c>
      <c r="N17" s="109">
        <v>1.99</v>
      </c>
      <c r="O17" s="109">
        <v>1.99</v>
      </c>
      <c r="P17" s="125">
        <v>0</v>
      </c>
      <c r="Q17" s="163">
        <f t="shared" si="1"/>
        <v>8.5299999999999994</v>
      </c>
      <c r="R17" s="166"/>
      <c r="S17" s="163"/>
    </row>
    <row r="18" spans="1:19" ht="26.65" customHeight="1" x14ac:dyDescent="0.2">
      <c r="A18" s="121"/>
      <c r="B18" s="170" t="s">
        <v>153</v>
      </c>
      <c r="C18" s="167"/>
      <c r="D18" s="168"/>
      <c r="E18" s="168"/>
      <c r="F18" s="168"/>
      <c r="G18" s="167"/>
      <c r="H18" s="167"/>
      <c r="I18" s="169"/>
      <c r="J18" s="126"/>
      <c r="K18" s="126"/>
      <c r="L18" s="126"/>
      <c r="M18" s="165">
        <f>M17/Q17</f>
        <v>0.53341148886283707</v>
      </c>
      <c r="N18" s="165">
        <f>N17/Q17</f>
        <v>0.23329425556858149</v>
      </c>
      <c r="O18" s="165">
        <f>O17/Q17</f>
        <v>0.23329425556858149</v>
      </c>
      <c r="P18" s="125">
        <v>0</v>
      </c>
      <c r="Q18" s="164">
        <f t="shared" ref="Q18" si="2">SUM(M18:P18)</f>
        <v>1</v>
      </c>
      <c r="S18" s="163"/>
    </row>
    <row r="19" spans="1:19" ht="18.600000000000001" customHeight="1" x14ac:dyDescent="0.2">
      <c r="A19" s="127"/>
      <c r="B19" s="610" t="s">
        <v>140</v>
      </c>
      <c r="C19" s="611"/>
      <c r="D19" s="611"/>
      <c r="E19" s="611"/>
      <c r="F19" s="611"/>
      <c r="G19" s="611"/>
      <c r="H19" s="611"/>
      <c r="I19" s="612"/>
      <c r="J19" s="126"/>
      <c r="K19" s="128"/>
      <c r="L19" s="128"/>
    </row>
    <row r="20" spans="1:19" ht="24" customHeight="1" x14ac:dyDescent="0.2">
      <c r="A20" s="127"/>
      <c r="B20" s="607" t="s">
        <v>170</v>
      </c>
      <c r="C20" s="608"/>
      <c r="D20" s="608"/>
      <c r="E20" s="608"/>
      <c r="F20" s="608"/>
      <c r="G20" s="608"/>
      <c r="H20" s="608"/>
      <c r="I20" s="609"/>
      <c r="J20" s="126"/>
      <c r="K20" s="128"/>
      <c r="L20" s="128"/>
    </row>
    <row r="21" spans="1:19" ht="38.1" customHeight="1" x14ac:dyDescent="0.2">
      <c r="A21" s="129"/>
      <c r="B21" s="607" t="s">
        <v>171</v>
      </c>
      <c r="C21" s="608"/>
      <c r="D21" s="608"/>
      <c r="E21" s="608"/>
      <c r="F21" s="608"/>
      <c r="G21" s="608"/>
      <c r="H21" s="608"/>
      <c r="I21" s="609"/>
      <c r="J21" s="126"/>
      <c r="K21" s="128"/>
      <c r="L21" s="128"/>
    </row>
    <row r="22" spans="1:19" ht="52.5" customHeight="1" x14ac:dyDescent="0.2">
      <c r="A22" s="129"/>
      <c r="B22" s="607" t="s">
        <v>172</v>
      </c>
      <c r="C22" s="608"/>
      <c r="D22" s="608"/>
      <c r="E22" s="608"/>
      <c r="F22" s="608"/>
      <c r="G22" s="608"/>
      <c r="H22" s="608"/>
      <c r="I22" s="609"/>
      <c r="J22" s="126"/>
      <c r="K22" s="128"/>
      <c r="L22" s="128"/>
    </row>
    <row r="23" spans="1:19" ht="12.75" x14ac:dyDescent="0.2">
      <c r="A23" s="130"/>
      <c r="B23" s="131" t="s">
        <v>123</v>
      </c>
      <c r="C23" s="132"/>
      <c r="D23" s="132"/>
      <c r="E23" s="132"/>
      <c r="F23" s="132"/>
      <c r="G23" s="133"/>
      <c r="H23" s="133">
        <f>H17</f>
        <v>434.80800000000005</v>
      </c>
      <c r="I23" s="176">
        <f>I17</f>
        <v>434.80800000000005</v>
      </c>
      <c r="J23" s="126"/>
      <c r="K23" s="128"/>
      <c r="L23" s="128"/>
    </row>
    <row r="24" spans="1:19" ht="19.5" customHeight="1" x14ac:dyDescent="0.2">
      <c r="A24" s="134"/>
      <c r="B24" s="135"/>
      <c r="C24" s="136"/>
      <c r="D24" s="136"/>
      <c r="E24" s="137"/>
      <c r="F24" s="137"/>
      <c r="G24" s="138"/>
      <c r="H24" s="138"/>
      <c r="I24" s="139"/>
      <c r="J24" s="126"/>
      <c r="K24" s="128"/>
      <c r="L24" s="128"/>
    </row>
    <row r="25" spans="1:19" ht="36" x14ac:dyDescent="0.25">
      <c r="A25" s="152" t="e">
        <f>#REF!</f>
        <v>#REF!</v>
      </c>
      <c r="B25" s="153" t="e">
        <f>#REF!</f>
        <v>#REF!</v>
      </c>
      <c r="C25" s="177" t="s">
        <v>147</v>
      </c>
      <c r="D25" s="150" t="s">
        <v>146</v>
      </c>
      <c r="E25" s="150"/>
      <c r="F25" s="150"/>
      <c r="G25" s="150" t="s">
        <v>143</v>
      </c>
      <c r="H25" s="156">
        <f>H29</f>
        <v>0.2</v>
      </c>
      <c r="I25" s="162">
        <f>I29</f>
        <v>0.2</v>
      </c>
      <c r="J25" s="126"/>
      <c r="K25" s="128"/>
      <c r="L25" s="128"/>
    </row>
    <row r="26" spans="1:19" ht="12.75" x14ac:dyDescent="0.2">
      <c r="A26" s="121"/>
      <c r="B26" s="122"/>
      <c r="C26" s="123"/>
      <c r="D26" s="125"/>
      <c r="E26" s="125"/>
      <c r="F26" s="150"/>
      <c r="G26" s="123"/>
      <c r="I26" s="124"/>
      <c r="J26" s="126"/>
      <c r="K26" s="128"/>
      <c r="L26" s="128"/>
    </row>
    <row r="27" spans="1:19" ht="12.75" x14ac:dyDescent="0.2">
      <c r="A27" s="121"/>
      <c r="B27" s="159" t="s">
        <v>151</v>
      </c>
      <c r="C27" s="125" t="s">
        <v>152</v>
      </c>
      <c r="D27" s="125">
        <v>0.2</v>
      </c>
      <c r="E27" s="125"/>
      <c r="F27" s="125"/>
      <c r="G27" s="123">
        <v>0.2</v>
      </c>
      <c r="H27" s="123">
        <v>0.2</v>
      </c>
      <c r="I27" s="124">
        <v>0.2</v>
      </c>
      <c r="J27" s="126"/>
      <c r="K27" s="128"/>
      <c r="L27" s="128"/>
    </row>
    <row r="28" spans="1:19" ht="12.75" x14ac:dyDescent="0.2">
      <c r="A28" s="121"/>
      <c r="B28" s="160"/>
      <c r="C28" s="125"/>
      <c r="D28" s="125"/>
      <c r="E28" s="125"/>
      <c r="F28" s="125"/>
      <c r="G28" s="123"/>
      <c r="H28" s="123"/>
      <c r="I28" s="124"/>
      <c r="J28" s="126"/>
      <c r="K28" s="128"/>
      <c r="L28" s="128"/>
    </row>
    <row r="29" spans="1:19" ht="12.75" x14ac:dyDescent="0.2">
      <c r="A29" s="130"/>
      <c r="B29" s="131" t="s">
        <v>123</v>
      </c>
      <c r="C29" s="132"/>
      <c r="D29" s="132"/>
      <c r="E29" s="132"/>
      <c r="F29" s="132"/>
      <c r="G29" s="133"/>
      <c r="H29" s="133">
        <f>H27</f>
        <v>0.2</v>
      </c>
      <c r="I29" s="176">
        <f>I27</f>
        <v>0.2</v>
      </c>
      <c r="J29" s="126"/>
      <c r="K29" s="128"/>
      <c r="L29" s="128"/>
    </row>
    <row r="30" spans="1:19" ht="12.75" x14ac:dyDescent="0.2">
      <c r="A30" s="121"/>
      <c r="B30" s="161"/>
      <c r="C30" s="123"/>
      <c r="D30" s="154"/>
      <c r="E30" s="154"/>
      <c r="F30" s="154"/>
      <c r="G30" s="123"/>
      <c r="H30" s="123"/>
      <c r="I30" s="124"/>
      <c r="J30" s="126"/>
      <c r="K30" s="128"/>
      <c r="L30" s="128"/>
    </row>
    <row r="31" spans="1:19" ht="12.75" x14ac:dyDescent="0.2">
      <c r="A31" s="134"/>
      <c r="B31" s="135"/>
      <c r="C31" s="136"/>
      <c r="D31" s="136"/>
      <c r="E31" s="137"/>
      <c r="F31" s="137"/>
      <c r="G31" s="138"/>
      <c r="H31" s="138"/>
      <c r="I31" s="139"/>
      <c r="J31" s="126"/>
      <c r="K31" s="128"/>
      <c r="L31" s="128"/>
    </row>
    <row r="32" spans="1:19" ht="12.75" x14ac:dyDescent="0.2">
      <c r="A32" s="112" t="e">
        <f>#REF!</f>
        <v>#REF!</v>
      </c>
      <c r="B32" s="113" t="e">
        <f>#REF!</f>
        <v>#REF!</v>
      </c>
      <c r="C32" s="155"/>
      <c r="D32" s="155"/>
      <c r="E32" s="155"/>
      <c r="F32" s="155"/>
      <c r="G32" s="155"/>
      <c r="H32" s="114"/>
      <c r="I32" s="115"/>
      <c r="J32" s="116"/>
      <c r="K32" s="116"/>
      <c r="L32" s="116"/>
    </row>
    <row r="33" spans="1:12" ht="12.75" x14ac:dyDescent="0.2">
      <c r="A33" s="117"/>
      <c r="B33" s="118"/>
      <c r="C33" s="119"/>
      <c r="D33" s="119"/>
      <c r="E33" s="119"/>
      <c r="F33" s="119"/>
      <c r="G33" s="119"/>
      <c r="H33" s="157"/>
      <c r="I33" s="120"/>
      <c r="J33" s="116"/>
      <c r="K33" s="116"/>
      <c r="L33" s="116"/>
    </row>
    <row r="34" spans="1:12" ht="45" customHeight="1" x14ac:dyDescent="0.25">
      <c r="A34" s="152" t="e">
        <f>#REF!</f>
        <v>#REF!</v>
      </c>
      <c r="B34" s="153" t="e">
        <f>#REF!</f>
        <v>#REF!</v>
      </c>
      <c r="C34" s="177" t="s">
        <v>147</v>
      </c>
      <c r="D34" s="194" t="s">
        <v>160</v>
      </c>
      <c r="E34" s="194" t="s">
        <v>162</v>
      </c>
      <c r="F34" s="194" t="s">
        <v>161</v>
      </c>
      <c r="G34" s="150" t="s">
        <v>143</v>
      </c>
      <c r="H34" s="156" t="e">
        <f>H42</f>
        <v>#REF!</v>
      </c>
      <c r="I34" s="162" t="e">
        <f>I42</f>
        <v>#REF!</v>
      </c>
      <c r="J34" s="116">
        <f>SUM(J42:J42)</f>
        <v>0</v>
      </c>
      <c r="K34" s="116">
        <f>SUM(K42:K42)</f>
        <v>0</v>
      </c>
      <c r="L34" s="116">
        <f>SUM(L42:L42)</f>
        <v>0</v>
      </c>
    </row>
    <row r="35" spans="1:12" ht="16.149999999999999" customHeight="1" x14ac:dyDescent="0.2">
      <c r="A35" s="121"/>
      <c r="B35" s="186" t="s">
        <v>163</v>
      </c>
      <c r="C35" s="177" t="s">
        <v>78</v>
      </c>
      <c r="D35" s="125">
        <v>89748.683999999994</v>
      </c>
      <c r="E35" s="125" t="e">
        <f>#REF!</f>
        <v>#REF!</v>
      </c>
      <c r="F35" s="196" t="e">
        <f>D35-E35</f>
        <v>#REF!</v>
      </c>
      <c r="G35" s="123"/>
      <c r="I35" s="124"/>
      <c r="J35" s="126">
        <f>J34+I35</f>
        <v>0</v>
      </c>
      <c r="K35" s="126">
        <f t="shared" ref="K35" si="3">K34+J35</f>
        <v>0</v>
      </c>
      <c r="L35" s="126">
        <f t="shared" ref="L35" si="4">L34+K35</f>
        <v>0</v>
      </c>
    </row>
    <row r="36" spans="1:12" ht="16.149999999999999" customHeight="1" x14ac:dyDescent="0.2">
      <c r="A36" s="121"/>
      <c r="B36" s="186" t="s">
        <v>164</v>
      </c>
      <c r="C36" s="177" t="s">
        <v>78</v>
      </c>
      <c r="D36" s="123"/>
      <c r="E36" s="125">
        <v>0</v>
      </c>
      <c r="F36" s="196" t="e">
        <f>#REF!+#REF!+#REF!</f>
        <v>#REF!</v>
      </c>
      <c r="G36" s="123"/>
      <c r="I36" s="124"/>
      <c r="J36" s="126"/>
      <c r="K36" s="126"/>
      <c r="L36" s="126"/>
    </row>
    <row r="37" spans="1:12" ht="27.6" customHeight="1" x14ac:dyDescent="0.2">
      <c r="A37" s="121"/>
      <c r="B37" s="186" t="s">
        <v>165</v>
      </c>
      <c r="C37" s="177"/>
      <c r="D37" s="151"/>
      <c r="E37" s="125"/>
      <c r="G37" s="197" t="e">
        <f>ROUND(F36/F35,4)*100</f>
        <v>#REF!</v>
      </c>
      <c r="H37" s="198" t="e">
        <f>G37</f>
        <v>#REF!</v>
      </c>
      <c r="I37" s="199" t="e">
        <f>H37</f>
        <v>#REF!</v>
      </c>
      <c r="J37" s="126"/>
      <c r="K37" s="126"/>
      <c r="L37" s="126"/>
    </row>
    <row r="38" spans="1:12" ht="25.5" customHeight="1" x14ac:dyDescent="0.2">
      <c r="A38" s="121"/>
      <c r="B38" s="186"/>
      <c r="C38" s="157"/>
      <c r="D38" s="123"/>
      <c r="E38" s="125"/>
      <c r="F38" s="185"/>
      <c r="G38" s="123"/>
      <c r="H38" s="123"/>
      <c r="I38" s="124"/>
      <c r="J38" s="126"/>
      <c r="K38" s="126"/>
      <c r="L38" s="126"/>
    </row>
    <row r="39" spans="1:12" ht="12" customHeight="1" x14ac:dyDescent="0.2">
      <c r="A39" s="121"/>
      <c r="B39" s="186"/>
      <c r="C39" s="157"/>
      <c r="D39" s="125"/>
      <c r="E39" s="185"/>
      <c r="F39" s="185"/>
      <c r="G39" s="123"/>
      <c r="H39" s="123"/>
      <c r="I39" s="124"/>
      <c r="J39" s="126"/>
      <c r="K39" s="126"/>
      <c r="L39" s="126"/>
    </row>
    <row r="40" spans="1:12" ht="12" customHeight="1" x14ac:dyDescent="0.2">
      <c r="A40" s="121"/>
      <c r="B40" s="161"/>
      <c r="C40" s="157"/>
      <c r="D40" s="123"/>
      <c r="E40" s="187"/>
      <c r="F40" s="187"/>
      <c r="G40" s="123"/>
      <c r="H40" s="123"/>
      <c r="I40" s="174"/>
      <c r="J40" s="126"/>
      <c r="K40" s="126"/>
      <c r="L40" s="126"/>
    </row>
    <row r="41" spans="1:12" ht="12" customHeight="1" x14ac:dyDescent="0.2">
      <c r="A41" s="188"/>
      <c r="B41" s="189"/>
      <c r="C41" s="157"/>
      <c r="D41" s="190"/>
      <c r="E41" s="191"/>
      <c r="F41" s="191"/>
      <c r="G41" s="190"/>
      <c r="H41" s="190"/>
      <c r="I41" s="192"/>
      <c r="J41" s="126"/>
      <c r="K41" s="126"/>
      <c r="L41" s="126"/>
    </row>
    <row r="42" spans="1:12" ht="12.75" x14ac:dyDescent="0.2">
      <c r="A42" s="130"/>
      <c r="B42" s="131" t="s">
        <v>123</v>
      </c>
      <c r="C42" s="132"/>
      <c r="D42" s="132"/>
      <c r="E42" s="132"/>
      <c r="F42" s="132"/>
      <c r="G42" s="133"/>
      <c r="H42" s="195" t="e">
        <f>SUM(H35:H41)</f>
        <v>#REF!</v>
      </c>
      <c r="I42" s="195" t="e">
        <f>SUM(I35:I41)</f>
        <v>#REF!</v>
      </c>
      <c r="J42" s="126"/>
      <c r="K42" s="128"/>
      <c r="L42" s="128"/>
    </row>
  </sheetData>
  <mergeCells count="12">
    <mergeCell ref="B20:I20"/>
    <mergeCell ref="B21:I21"/>
    <mergeCell ref="B22:I22"/>
    <mergeCell ref="B19:I19"/>
    <mergeCell ref="D6:G7"/>
    <mergeCell ref="B3:G3"/>
    <mergeCell ref="A6:A7"/>
    <mergeCell ref="B4:I4"/>
    <mergeCell ref="H6:I6"/>
    <mergeCell ref="B6:B7"/>
    <mergeCell ref="A5:I5"/>
    <mergeCell ref="C6:C7"/>
  </mergeCells>
  <printOptions horizontalCentered="1" gridLines="1"/>
  <pageMargins left="0.39370078740157483" right="0.39370078740157483" top="0.39370078740157483" bottom="0.78740157480314965" header="0.51181102362204722" footer="0.27559055118110237"/>
  <pageSetup paperSize="9" scale="75" orientation="portrait" r:id="rId1"/>
  <headerFooter alignWithMargins="0"/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T63"/>
  <sheetViews>
    <sheetView showZeros="0" view="pageBreakPreview" topLeftCell="A53" zoomScaleNormal="70" zoomScaleSheetLayoutView="100" workbookViewId="0">
      <selection activeCell="B60" sqref="B60:I61"/>
    </sheetView>
  </sheetViews>
  <sheetFormatPr defaultColWidth="9.28515625" defaultRowHeight="12" x14ac:dyDescent="0.25"/>
  <cols>
    <col min="1" max="1" width="14.28515625" style="140" customWidth="1"/>
    <col min="2" max="2" width="52.42578125" style="140" customWidth="1"/>
    <col min="3" max="3" width="6" style="141" customWidth="1"/>
    <col min="4" max="4" width="9.28515625" style="141" customWidth="1"/>
    <col min="5" max="5" width="9.7109375" style="141" customWidth="1"/>
    <col min="6" max="6" width="11.5703125" style="141" customWidth="1"/>
    <col min="7" max="7" width="10.5703125" style="142" customWidth="1"/>
    <col min="8" max="8" width="9.28515625" style="142" customWidth="1"/>
    <col min="9" max="9" width="8.7109375" style="143" customWidth="1"/>
    <col min="10" max="11" width="11.28515625" style="107" hidden="1" customWidth="1"/>
    <col min="12" max="12" width="11.28515625" style="108" hidden="1" customWidth="1"/>
    <col min="13" max="18" width="0" style="109" hidden="1" customWidth="1"/>
    <col min="19" max="16384" width="9.28515625" style="109"/>
  </cols>
  <sheetData>
    <row r="1" spans="1:19" ht="17.100000000000001" customHeight="1" x14ac:dyDescent="0.25">
      <c r="A1" s="207"/>
      <c r="B1" s="208" t="s">
        <v>166</v>
      </c>
      <c r="C1" s="209"/>
      <c r="D1" s="209"/>
      <c r="E1" s="209"/>
      <c r="F1" s="209"/>
      <c r="G1" s="209"/>
      <c r="H1" s="209"/>
      <c r="I1" s="209"/>
    </row>
    <row r="2" spans="1:19" ht="15.75" x14ac:dyDescent="0.25">
      <c r="A2" s="207"/>
      <c r="B2" s="210" t="s">
        <v>167</v>
      </c>
      <c r="C2" s="211"/>
      <c r="D2" s="211"/>
      <c r="E2" s="211"/>
      <c r="F2" s="211"/>
      <c r="G2" s="212"/>
      <c r="H2" s="212"/>
      <c r="I2" s="213"/>
    </row>
    <row r="3" spans="1:19" ht="29.65" customHeight="1" x14ac:dyDescent="0.25">
      <c r="A3" s="207"/>
      <c r="B3" s="594" t="s">
        <v>168</v>
      </c>
      <c r="C3" s="594"/>
      <c r="D3" s="594"/>
      <c r="E3" s="594"/>
      <c r="F3" s="594"/>
      <c r="G3" s="594"/>
      <c r="H3" s="214"/>
      <c r="I3" s="214"/>
    </row>
    <row r="4" spans="1:19" ht="16.5" thickBot="1" x14ac:dyDescent="0.3">
      <c r="A4" s="207"/>
      <c r="B4" s="597" t="s">
        <v>169</v>
      </c>
      <c r="C4" s="597"/>
      <c r="D4" s="597"/>
      <c r="E4" s="597"/>
      <c r="F4" s="597"/>
      <c r="G4" s="597"/>
      <c r="H4" s="597"/>
      <c r="I4" s="597"/>
    </row>
    <row r="5" spans="1:19" ht="21.6" customHeight="1" thickBot="1" x14ac:dyDescent="0.3">
      <c r="A5" s="602" t="s">
        <v>193</v>
      </c>
      <c r="B5" s="603"/>
      <c r="C5" s="603"/>
      <c r="D5" s="603"/>
      <c r="E5" s="603"/>
      <c r="F5" s="603"/>
      <c r="G5" s="603"/>
      <c r="H5" s="603"/>
      <c r="I5" s="604"/>
    </row>
    <row r="6" spans="1:19" ht="13.5" customHeight="1" x14ac:dyDescent="0.25">
      <c r="A6" s="595" t="s">
        <v>74</v>
      </c>
      <c r="B6" s="600" t="s">
        <v>118</v>
      </c>
      <c r="C6" s="605" t="s">
        <v>147</v>
      </c>
      <c r="D6" s="613" t="s">
        <v>139</v>
      </c>
      <c r="E6" s="614"/>
      <c r="F6" s="614"/>
      <c r="G6" s="614"/>
      <c r="H6" s="598" t="s">
        <v>119</v>
      </c>
      <c r="I6" s="599"/>
      <c r="J6" s="202" t="s">
        <v>119</v>
      </c>
      <c r="K6" s="110" t="s">
        <v>120</v>
      </c>
      <c r="L6" s="110" t="s">
        <v>121</v>
      </c>
    </row>
    <row r="7" spans="1:19" ht="14.65" customHeight="1" thickBot="1" x14ac:dyDescent="0.3">
      <c r="A7" s="596"/>
      <c r="B7" s="601"/>
      <c r="C7" s="606"/>
      <c r="D7" s="615"/>
      <c r="E7" s="616"/>
      <c r="F7" s="616"/>
      <c r="G7" s="616"/>
      <c r="H7" s="205" t="s">
        <v>137</v>
      </c>
      <c r="I7" s="206" t="s">
        <v>138</v>
      </c>
      <c r="J7" s="200" t="s">
        <v>122</v>
      </c>
      <c r="K7" s="111" t="s">
        <v>122</v>
      </c>
      <c r="L7" s="111" t="s">
        <v>122</v>
      </c>
    </row>
    <row r="8" spans="1:19" ht="12.75" x14ac:dyDescent="0.2">
      <c r="A8" s="203" t="e">
        <f>#REF!</f>
        <v>#REF!</v>
      </c>
      <c r="B8" s="204" t="e">
        <f>#REF!</f>
        <v>#REF!</v>
      </c>
      <c r="C8" s="155"/>
      <c r="D8" s="155"/>
      <c r="E8" s="155"/>
      <c r="F8" s="155"/>
      <c r="G8" s="155"/>
      <c r="H8" s="155"/>
      <c r="I8" s="201"/>
      <c r="J8" s="116"/>
      <c r="K8" s="116"/>
      <c r="L8" s="116"/>
    </row>
    <row r="9" spans="1:19" ht="12.75" x14ac:dyDescent="0.2">
      <c r="A9" s="117"/>
      <c r="B9" s="118"/>
      <c r="C9" s="119"/>
      <c r="D9" s="119"/>
      <c r="E9" s="119"/>
      <c r="F9" s="119"/>
      <c r="G9" s="119"/>
      <c r="H9" s="157"/>
      <c r="I9" s="120"/>
      <c r="J9" s="116"/>
      <c r="K9" s="116"/>
      <c r="L9" s="116"/>
      <c r="M9" s="109" t="s">
        <v>145</v>
      </c>
    </row>
    <row r="10" spans="1:19" ht="54.6" customHeight="1" x14ac:dyDescent="0.25">
      <c r="A10" s="152" t="e">
        <f>#REF!</f>
        <v>#REF!</v>
      </c>
      <c r="B10" s="153" t="e">
        <f>#REF!</f>
        <v>#REF!</v>
      </c>
      <c r="C10" s="177" t="s">
        <v>147</v>
      </c>
      <c r="D10" s="150" t="s">
        <v>185</v>
      </c>
      <c r="E10" s="150" t="s">
        <v>157</v>
      </c>
      <c r="F10" s="150"/>
      <c r="G10" s="150" t="s">
        <v>159</v>
      </c>
      <c r="H10" s="156">
        <f>H18</f>
        <v>289.87200000000001</v>
      </c>
      <c r="I10" s="162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136</v>
      </c>
      <c r="N10" s="150" t="s">
        <v>141</v>
      </c>
      <c r="O10" s="150" t="s">
        <v>142</v>
      </c>
      <c r="P10" s="150" t="s">
        <v>144</v>
      </c>
    </row>
    <row r="11" spans="1:19" ht="25.5" customHeight="1" x14ac:dyDescent="0.25">
      <c r="A11" s="121"/>
      <c r="B11" s="218" t="s">
        <v>180</v>
      </c>
      <c r="D11" s="123"/>
      <c r="E11" s="125"/>
      <c r="F11" s="125"/>
      <c r="G11" s="123"/>
      <c r="H11" s="123"/>
      <c r="I11" s="124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customHeight="1" x14ac:dyDescent="0.2">
      <c r="A12" s="121"/>
      <c r="B12" s="160" t="s">
        <v>182</v>
      </c>
      <c r="C12" s="157" t="s">
        <v>16</v>
      </c>
      <c r="D12" s="125">
        <v>437.52</v>
      </c>
      <c r="E12" s="125"/>
      <c r="F12" s="125"/>
      <c r="G12" s="123"/>
      <c r="H12" s="123"/>
      <c r="I12" s="124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 t="shared" ref="Q12:Q15" si="0">SUM(M12:P12)</f>
        <v>0.99999999999999989</v>
      </c>
      <c r="S12" s="232"/>
    </row>
    <row r="13" spans="1:19" ht="17.100000000000001" customHeight="1" x14ac:dyDescent="0.2">
      <c r="A13" s="121"/>
      <c r="B13" s="160" t="s">
        <v>183</v>
      </c>
      <c r="C13" s="157" t="s">
        <v>16</v>
      </c>
      <c r="D13" s="125">
        <v>287.16000000000003</v>
      </c>
      <c r="E13" s="125"/>
      <c r="F13" s="125"/>
      <c r="G13" s="123"/>
      <c r="H13" s="123"/>
      <c r="I13" s="124"/>
      <c r="J13" s="126"/>
      <c r="K13" s="126"/>
      <c r="L13" s="126"/>
      <c r="P13" s="125">
        <v>0</v>
      </c>
      <c r="Q13" s="163">
        <f t="shared" si="0"/>
        <v>0</v>
      </c>
    </row>
    <row r="14" spans="1:19" ht="17.100000000000001" customHeight="1" x14ac:dyDescent="0.2">
      <c r="A14" s="121"/>
      <c r="B14" s="160" t="s">
        <v>181</v>
      </c>
      <c r="C14" s="157"/>
      <c r="D14" s="125">
        <f>SUM(D12:D13)</f>
        <v>724.68000000000006</v>
      </c>
      <c r="E14" s="125">
        <f>D14</f>
        <v>724.68000000000006</v>
      </c>
      <c r="F14" s="125"/>
      <c r="G14" s="125">
        <f>E14</f>
        <v>724.68000000000006</v>
      </c>
      <c r="H14" s="123"/>
      <c r="I14" s="174">
        <f>G14</f>
        <v>724.68000000000006</v>
      </c>
      <c r="J14" s="126"/>
      <c r="K14" s="126"/>
      <c r="L14" s="126"/>
      <c r="P14" s="125"/>
      <c r="Q14" s="163"/>
    </row>
    <row r="15" spans="1:19" ht="12" customHeight="1" x14ac:dyDescent="0.2">
      <c r="A15" s="121"/>
      <c r="B15" s="215" t="s">
        <v>179</v>
      </c>
      <c r="C15" s="157" t="s">
        <v>16</v>
      </c>
      <c r="D15" s="233">
        <v>434.80800000000005</v>
      </c>
      <c r="E15" s="220">
        <f>D15</f>
        <v>434.80800000000005</v>
      </c>
      <c r="F15" s="125"/>
      <c r="G15" s="125">
        <f>E15</f>
        <v>434.80800000000005</v>
      </c>
      <c r="H15" s="123"/>
      <c r="I15" s="174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 t="shared" si="0"/>
        <v>8.5299999999999994</v>
      </c>
      <c r="R15" s="166"/>
      <c r="S15" s="163"/>
    </row>
    <row r="16" spans="1:19" ht="12" customHeight="1" x14ac:dyDescent="0.2">
      <c r="A16" s="121"/>
      <c r="B16" s="215" t="s">
        <v>175</v>
      </c>
      <c r="C16" s="157" t="s">
        <v>16</v>
      </c>
      <c r="D16" s="248">
        <f>D14-D15</f>
        <v>289.87200000000001</v>
      </c>
      <c r="E16" s="183">
        <f>E14-E15</f>
        <v>289.87200000000001</v>
      </c>
      <c r="F16" s="125"/>
      <c r="G16" s="183">
        <f>E16</f>
        <v>289.87200000000001</v>
      </c>
      <c r="H16" s="175">
        <f>G16</f>
        <v>289.87200000000001</v>
      </c>
      <c r="I16" s="184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7" ht="90.6" customHeight="1" x14ac:dyDescent="0.2">
      <c r="A17" s="127"/>
      <c r="B17" s="607" t="s">
        <v>189</v>
      </c>
      <c r="C17" s="608"/>
      <c r="D17" s="608"/>
      <c r="E17" s="608"/>
      <c r="F17" s="608"/>
      <c r="G17" s="608"/>
      <c r="H17" s="123"/>
      <c r="I17" s="124"/>
      <c r="J17" s="126"/>
      <c r="K17" s="128"/>
      <c r="L17" s="128"/>
    </row>
    <row r="18" spans="1:17" ht="12.75" x14ac:dyDescent="0.2">
      <c r="A18" s="130"/>
      <c r="B18" s="131" t="s">
        <v>123</v>
      </c>
      <c r="C18" s="132"/>
      <c r="D18" s="132"/>
      <c r="E18" s="132"/>
      <c r="F18" s="132"/>
      <c r="G18" s="133"/>
      <c r="H18" s="133">
        <f>H16</f>
        <v>289.87200000000001</v>
      </c>
      <c r="I18" s="176">
        <f>I16</f>
        <v>724.68000000000006</v>
      </c>
      <c r="J18" s="126"/>
      <c r="K18" s="128"/>
      <c r="L18" s="128"/>
    </row>
    <row r="19" spans="1:17" ht="24" hidden="1" x14ac:dyDescent="0.25">
      <c r="A19" s="152" t="e">
        <f>#REF!</f>
        <v>#REF!</v>
      </c>
      <c r="B19" s="153" t="e">
        <f>#REF!</f>
        <v>#REF!</v>
      </c>
      <c r="C19" s="177" t="s">
        <v>147</v>
      </c>
      <c r="D19" s="150" t="s">
        <v>146</v>
      </c>
      <c r="E19" s="150"/>
      <c r="F19" s="150"/>
      <c r="G19" s="150" t="s">
        <v>143</v>
      </c>
      <c r="H19" s="156">
        <f>H23</f>
        <v>0.2</v>
      </c>
      <c r="I19" s="162">
        <f>I23</f>
        <v>0.2</v>
      </c>
      <c r="J19" s="126"/>
      <c r="K19" s="128"/>
      <c r="L19" s="128"/>
    </row>
    <row r="20" spans="1:17" ht="12.75" hidden="1" x14ac:dyDescent="0.2">
      <c r="A20" s="121"/>
      <c r="B20" s="122"/>
      <c r="C20" s="123"/>
      <c r="D20" s="125"/>
      <c r="E20" s="125"/>
      <c r="F20" s="150"/>
      <c r="G20" s="123"/>
      <c r="I20" s="124"/>
      <c r="J20" s="126"/>
      <c r="K20" s="128"/>
      <c r="L20" s="128"/>
    </row>
    <row r="21" spans="1:17" ht="24" hidden="1" x14ac:dyDescent="0.2">
      <c r="A21" s="121"/>
      <c r="B21" s="159" t="s">
        <v>178</v>
      </c>
      <c r="C21" s="125" t="s">
        <v>152</v>
      </c>
      <c r="D21" s="125">
        <v>0.2</v>
      </c>
      <c r="E21" s="125"/>
      <c r="F21" s="125"/>
      <c r="G21" s="123">
        <v>0.2</v>
      </c>
      <c r="H21" s="123">
        <v>0.2</v>
      </c>
      <c r="I21" s="124">
        <v>0.2</v>
      </c>
      <c r="J21" s="126"/>
      <c r="K21" s="128"/>
      <c r="L21" s="128"/>
    </row>
    <row r="22" spans="1:17" ht="12.75" hidden="1" x14ac:dyDescent="0.2">
      <c r="A22" s="121"/>
      <c r="B22" s="216" t="s">
        <v>177</v>
      </c>
      <c r="C22" s="125"/>
      <c r="D22" s="125"/>
      <c r="E22" s="125"/>
      <c r="F22" s="125"/>
      <c r="G22" s="123"/>
      <c r="H22" s="123"/>
      <c r="I22" s="124"/>
      <c r="J22" s="126"/>
      <c r="K22" s="128"/>
      <c r="L22" s="128"/>
    </row>
    <row r="23" spans="1:17" ht="12.75" hidden="1" x14ac:dyDescent="0.2">
      <c r="A23" s="130"/>
      <c r="B23" s="131" t="s">
        <v>123</v>
      </c>
      <c r="C23" s="132"/>
      <c r="D23" s="132"/>
      <c r="E23" s="132"/>
      <c r="F23" s="132"/>
      <c r="G23" s="133"/>
      <c r="H23" s="133">
        <f>H21</f>
        <v>0.2</v>
      </c>
      <c r="I23" s="176">
        <f>I21</f>
        <v>0.2</v>
      </c>
      <c r="J23" s="126"/>
      <c r="K23" s="128"/>
      <c r="L23" s="128"/>
    </row>
    <row r="24" spans="1:17" ht="12.75" x14ac:dyDescent="0.2">
      <c r="A24" s="225"/>
      <c r="B24" s="227"/>
      <c r="C24" s="228"/>
      <c r="D24" s="228"/>
      <c r="E24" s="228"/>
      <c r="F24" s="228"/>
      <c r="G24" s="190"/>
      <c r="H24" s="190"/>
      <c r="I24" s="229"/>
      <c r="J24" s="126"/>
      <c r="K24" s="128"/>
      <c r="L24" s="128"/>
    </row>
    <row r="25" spans="1:17" ht="72" x14ac:dyDescent="0.25">
      <c r="A25" s="152" t="e">
        <f>#REF!</f>
        <v>#REF!</v>
      </c>
      <c r="B25" s="153" t="e">
        <f>#REF!</f>
        <v>#REF!</v>
      </c>
      <c r="C25" s="177" t="s">
        <v>147</v>
      </c>
      <c r="D25" s="150" t="s">
        <v>185</v>
      </c>
      <c r="E25" s="150"/>
      <c r="F25" s="150" t="s">
        <v>192</v>
      </c>
      <c r="G25" s="150" t="s">
        <v>159</v>
      </c>
      <c r="H25" s="156">
        <f>H37</f>
        <v>750</v>
      </c>
      <c r="I25" s="162">
        <f>I37</f>
        <v>750</v>
      </c>
      <c r="J25" s="126"/>
      <c r="K25" s="128"/>
      <c r="L25" s="128"/>
    </row>
    <row r="26" spans="1:17" ht="12.75" x14ac:dyDescent="0.2">
      <c r="A26" s="121"/>
      <c r="B26" s="160"/>
      <c r="C26" s="157"/>
      <c r="D26" s="125"/>
      <c r="E26" s="125"/>
      <c r="F26" s="125"/>
      <c r="G26" s="123"/>
      <c r="H26" s="123"/>
      <c r="I26" s="124"/>
      <c r="J26" s="126"/>
      <c r="K26" s="126"/>
      <c r="L26" s="126"/>
      <c r="P26" s="125"/>
      <c r="Q26" s="163"/>
    </row>
    <row r="27" spans="1:17" ht="25.5" customHeight="1" x14ac:dyDescent="0.25">
      <c r="A27" s="121"/>
      <c r="B27" s="226" t="s">
        <v>180</v>
      </c>
      <c r="D27" s="123"/>
      <c r="E27" s="125"/>
      <c r="F27" s="125"/>
      <c r="G27" s="123"/>
      <c r="H27" s="123"/>
      <c r="I27" s="124"/>
      <c r="J27" s="126"/>
      <c r="K27" s="126"/>
      <c r="L27" s="126"/>
      <c r="M27" s="22">
        <v>5.1100000000000003</v>
      </c>
      <c r="N27" s="22">
        <v>2.23</v>
      </c>
      <c r="O27" s="22">
        <v>2.23</v>
      </c>
      <c r="P27" s="125">
        <v>0</v>
      </c>
      <c r="Q27" s="163">
        <f>SUM(M27:P27)</f>
        <v>9.57</v>
      </c>
    </row>
    <row r="28" spans="1:17" ht="12" customHeight="1" x14ac:dyDescent="0.2">
      <c r="A28" s="121"/>
      <c r="B28" s="160" t="s">
        <v>182</v>
      </c>
      <c r="C28" s="157" t="s">
        <v>16</v>
      </c>
      <c r="D28" s="125">
        <v>437.52</v>
      </c>
      <c r="E28" s="125"/>
      <c r="F28" s="125"/>
      <c r="G28" s="123"/>
      <c r="H28" s="123"/>
      <c r="I28" s="124"/>
      <c r="J28" s="126"/>
      <c r="K28" s="126"/>
      <c r="L28" s="126"/>
      <c r="M28" s="165">
        <f>M27/Q27</f>
        <v>0.53396029258098221</v>
      </c>
      <c r="N28" s="165">
        <f>N27/Q27</f>
        <v>0.23301985370950887</v>
      </c>
      <c r="O28" s="165">
        <f>O27/Q27</f>
        <v>0.23301985370950887</v>
      </c>
      <c r="P28" s="125">
        <v>0</v>
      </c>
      <c r="Q28" s="164">
        <f t="shared" ref="Q28:Q29" si="1">SUM(M28:P28)</f>
        <v>0.99999999999999989</v>
      </c>
    </row>
    <row r="29" spans="1:17" ht="17.100000000000001" customHeight="1" x14ac:dyDescent="0.2">
      <c r="A29" s="121"/>
      <c r="B29" s="160" t="s">
        <v>183</v>
      </c>
      <c r="C29" s="157" t="s">
        <v>16</v>
      </c>
      <c r="D29" s="125">
        <v>287.16000000000003</v>
      </c>
      <c r="E29" s="125"/>
      <c r="F29" s="125"/>
      <c r="G29" s="123"/>
      <c r="H29" s="123"/>
      <c r="I29" s="124"/>
      <c r="J29" s="126"/>
      <c r="K29" s="126"/>
      <c r="L29" s="126"/>
      <c r="P29" s="125">
        <v>0</v>
      </c>
      <c r="Q29" s="163">
        <f t="shared" si="1"/>
        <v>0</v>
      </c>
    </row>
    <row r="30" spans="1:17" ht="17.100000000000001" customHeight="1" x14ac:dyDescent="0.2">
      <c r="A30" s="121"/>
      <c r="B30" s="160" t="s">
        <v>181</v>
      </c>
      <c r="C30" s="157"/>
      <c r="D30" s="125">
        <f>SUM(D28:D29)</f>
        <v>724.68000000000006</v>
      </c>
      <c r="E30" s="125"/>
      <c r="F30" s="125"/>
      <c r="G30" s="123"/>
      <c r="H30" s="123"/>
      <c r="I30" s="124"/>
      <c r="J30" s="126"/>
      <c r="K30" s="126"/>
      <c r="L30" s="126"/>
      <c r="P30" s="125"/>
      <c r="Q30" s="163"/>
    </row>
    <row r="31" spans="1:17" ht="23.65" customHeight="1" x14ac:dyDescent="0.2">
      <c r="A31" s="121"/>
      <c r="B31" s="218" t="s">
        <v>184</v>
      </c>
      <c r="C31" s="157"/>
      <c r="D31" s="125"/>
      <c r="E31" s="125"/>
      <c r="F31" s="125"/>
      <c r="G31" s="123"/>
      <c r="H31" s="123"/>
      <c r="I31" s="124"/>
      <c r="J31" s="126"/>
      <c r="K31" s="126"/>
      <c r="L31" s="126"/>
      <c r="P31" s="125"/>
      <c r="Q31" s="163"/>
    </row>
    <row r="32" spans="1:17" ht="80.099999999999994" customHeight="1" x14ac:dyDescent="0.2">
      <c r="A32" s="121"/>
      <c r="B32" s="160" t="s">
        <v>186</v>
      </c>
      <c r="C32" s="157" t="s">
        <v>16</v>
      </c>
      <c r="D32" s="125">
        <v>25.319999999999936</v>
      </c>
      <c r="E32" s="125"/>
      <c r="F32" s="125"/>
      <c r="G32" s="123"/>
      <c r="H32" s="123"/>
      <c r="I32" s="124"/>
      <c r="J32" s="126"/>
      <c r="K32" s="126"/>
      <c r="L32" s="126"/>
      <c r="P32" s="125"/>
      <c r="Q32" s="163"/>
    </row>
    <row r="33" spans="1:20" ht="12" customHeight="1" x14ac:dyDescent="0.2">
      <c r="A33" s="121"/>
      <c r="B33" s="161" t="s">
        <v>176</v>
      </c>
      <c r="C33" s="178" t="s">
        <v>16</v>
      </c>
      <c r="D33" s="123">
        <f>D32+D30</f>
        <v>750</v>
      </c>
      <c r="E33" s="220"/>
      <c r="F33" s="219">
        <f>D33-E33</f>
        <v>750</v>
      </c>
      <c r="G33" s="125">
        <f>D33</f>
        <v>750</v>
      </c>
      <c r="H33" s="123"/>
      <c r="I33" s="174"/>
      <c r="J33" s="126"/>
      <c r="K33" s="126"/>
      <c r="L33" s="126"/>
      <c r="M33" s="109">
        <v>4.55</v>
      </c>
      <c r="N33" s="109">
        <v>1.99</v>
      </c>
      <c r="O33" s="109">
        <v>1.99</v>
      </c>
      <c r="P33" s="125">
        <v>0</v>
      </c>
      <c r="Q33" s="163">
        <f t="shared" ref="Q33" si="2">SUM(M33:P33)</f>
        <v>8.5299999999999994</v>
      </c>
      <c r="R33" s="166"/>
      <c r="S33" s="163"/>
    </row>
    <row r="34" spans="1:20" ht="12" customHeight="1" x14ac:dyDescent="0.2">
      <c r="A34" s="121"/>
      <c r="B34" s="215" t="s">
        <v>179</v>
      </c>
      <c r="C34" s="178"/>
      <c r="D34" s="125">
        <v>0</v>
      </c>
      <c r="E34" s="125"/>
      <c r="F34" s="125">
        <v>0</v>
      </c>
      <c r="G34" s="125">
        <f>E34+F34</f>
        <v>0</v>
      </c>
      <c r="H34" s="123"/>
      <c r="I34" s="124"/>
      <c r="J34" s="126"/>
      <c r="K34" s="126"/>
      <c r="L34" s="126"/>
      <c r="P34" s="125"/>
      <c r="Q34" s="163"/>
      <c r="R34" s="166"/>
      <c r="S34" s="163"/>
    </row>
    <row r="35" spans="1:20" ht="12" customHeight="1" x14ac:dyDescent="0.2">
      <c r="A35" s="121"/>
      <c r="B35" s="215" t="s">
        <v>175</v>
      </c>
      <c r="C35" s="178"/>
      <c r="D35" s="183">
        <f>D33-D34</f>
        <v>750</v>
      </c>
      <c r="E35" s="183"/>
      <c r="F35" s="183">
        <f t="shared" ref="F35:G35" si="3">F33-F34</f>
        <v>750</v>
      </c>
      <c r="G35" s="183">
        <f t="shared" si="3"/>
        <v>750</v>
      </c>
      <c r="H35" s="175">
        <f>F35</f>
        <v>750</v>
      </c>
      <c r="I35" s="184">
        <f>H35</f>
        <v>750</v>
      </c>
      <c r="J35" s="126"/>
      <c r="K35" s="126"/>
      <c r="L35" s="126"/>
      <c r="P35" s="125"/>
      <c r="Q35" s="163"/>
      <c r="R35" s="166"/>
      <c r="S35" s="163"/>
    </row>
    <row r="36" spans="1:20" ht="132.75" customHeight="1" x14ac:dyDescent="0.2">
      <c r="A36" s="127"/>
      <c r="B36" s="607" t="s">
        <v>194</v>
      </c>
      <c r="C36" s="608"/>
      <c r="D36" s="608"/>
      <c r="E36" s="608"/>
      <c r="F36" s="608"/>
      <c r="G36" s="608"/>
      <c r="H36" s="123"/>
      <c r="I36" s="124"/>
      <c r="J36" s="126"/>
      <c r="K36" s="128"/>
      <c r="L36" s="128"/>
    </row>
    <row r="37" spans="1:20" ht="12.75" x14ac:dyDescent="0.2">
      <c r="A37" s="130"/>
      <c r="B37" s="131" t="s">
        <v>123</v>
      </c>
      <c r="C37" s="132"/>
      <c r="D37" s="132"/>
      <c r="E37" s="132"/>
      <c r="F37" s="132"/>
      <c r="G37" s="133"/>
      <c r="H37" s="133">
        <f>H35</f>
        <v>750</v>
      </c>
      <c r="I37" s="176">
        <f>H37</f>
        <v>750</v>
      </c>
      <c r="J37" s="126"/>
      <c r="K37" s="128"/>
      <c r="L37" s="128"/>
    </row>
    <row r="38" spans="1:20" ht="12.75" x14ac:dyDescent="0.2">
      <c r="A38" s="121"/>
      <c r="B38" s="161"/>
      <c r="C38" s="123"/>
      <c r="D38" s="154"/>
      <c r="E38" s="154"/>
      <c r="F38" s="154"/>
      <c r="G38" s="123"/>
      <c r="H38" s="123"/>
      <c r="I38" s="124"/>
      <c r="J38" s="126"/>
      <c r="K38" s="128"/>
      <c r="L38" s="128"/>
    </row>
    <row r="39" spans="1:20" ht="12.75" hidden="1" x14ac:dyDescent="0.25">
      <c r="A39" s="152" t="e">
        <f>#REF!</f>
        <v>#REF!</v>
      </c>
      <c r="B39" s="153" t="e">
        <f>#REF!</f>
        <v>#REF!</v>
      </c>
      <c r="C39" s="123"/>
      <c r="D39" s="125"/>
      <c r="E39" s="217"/>
      <c r="F39" s="217"/>
      <c r="G39" s="123"/>
      <c r="H39" s="123"/>
      <c r="I39" s="124"/>
      <c r="J39" s="126"/>
      <c r="K39" s="128"/>
      <c r="L39" s="128"/>
    </row>
    <row r="40" spans="1:20" ht="58.15" hidden="1" customHeight="1" x14ac:dyDescent="0.25">
      <c r="A40" s="152"/>
      <c r="B40" s="153"/>
      <c r="C40" s="177"/>
      <c r="D40" s="150"/>
      <c r="E40" s="150"/>
      <c r="F40" s="150"/>
      <c r="G40" s="150"/>
      <c r="H40" s="156"/>
      <c r="I40" s="162"/>
      <c r="J40" s="126"/>
      <c r="K40" s="128"/>
      <c r="L40" s="128"/>
    </row>
    <row r="41" spans="1:20" ht="12.75" hidden="1" x14ac:dyDescent="0.25">
      <c r="A41" s="152"/>
      <c r="B41" s="231"/>
      <c r="C41" s="177"/>
      <c r="D41" s="150"/>
      <c r="E41" s="217"/>
      <c r="F41" s="150"/>
      <c r="G41" s="150"/>
      <c r="H41" s="123"/>
      <c r="I41" s="162"/>
      <c r="J41" s="126"/>
      <c r="K41" s="128"/>
      <c r="L41" s="128"/>
    </row>
    <row r="42" spans="1:20" ht="12.75" hidden="1" x14ac:dyDescent="0.2">
      <c r="A42" s="121"/>
      <c r="B42" s="223"/>
      <c r="C42" s="123"/>
      <c r="D42" s="125"/>
      <c r="E42" s="217"/>
      <c r="F42" s="217"/>
      <c r="G42" s="123"/>
      <c r="H42" s="123"/>
      <c r="I42" s="124"/>
      <c r="J42" s="126"/>
      <c r="K42" s="128"/>
      <c r="L42" s="128"/>
    </row>
    <row r="43" spans="1:20" ht="30.6" hidden="1" customHeight="1" x14ac:dyDescent="0.2">
      <c r="A43" s="121"/>
      <c r="B43" s="223"/>
      <c r="C43" s="222"/>
      <c r="D43" s="125"/>
      <c r="E43" s="217"/>
      <c r="F43" s="217"/>
      <c r="G43" s="123"/>
      <c r="H43" s="123"/>
      <c r="I43" s="124"/>
      <c r="J43" s="126"/>
      <c r="K43" s="128"/>
      <c r="L43" s="128"/>
    </row>
    <row r="44" spans="1:20" ht="19.5" hidden="1" customHeight="1" x14ac:dyDescent="0.2">
      <c r="A44" s="121"/>
      <c r="B44" s="223"/>
      <c r="C44" s="222"/>
      <c r="D44" s="125"/>
      <c r="E44" s="217"/>
      <c r="F44" s="224"/>
      <c r="G44" s="123"/>
      <c r="H44" s="123"/>
      <c r="I44" s="124"/>
      <c r="J44" s="126"/>
      <c r="K44" s="128"/>
      <c r="L44" s="128"/>
      <c r="T44" s="232"/>
    </row>
    <row r="45" spans="1:20" ht="12" hidden="1" customHeight="1" x14ac:dyDescent="0.2">
      <c r="A45" s="121"/>
      <c r="B45" s="160"/>
      <c r="C45" s="157"/>
      <c r="D45" s="125"/>
      <c r="E45" s="125"/>
      <c r="F45" s="125"/>
      <c r="G45" s="123"/>
      <c r="H45" s="123"/>
      <c r="I45" s="124"/>
      <c r="J45" s="126"/>
      <c r="K45" s="126"/>
      <c r="L45" s="126"/>
      <c r="M45" s="165"/>
      <c r="N45" s="165"/>
      <c r="O45" s="165"/>
      <c r="P45" s="125"/>
      <c r="Q45" s="164"/>
    </row>
    <row r="46" spans="1:20" ht="12" hidden="1" customHeight="1" x14ac:dyDescent="0.2">
      <c r="A46" s="121"/>
      <c r="B46" s="160"/>
      <c r="C46" s="157"/>
      <c r="D46" s="125"/>
      <c r="E46" s="125"/>
      <c r="F46" s="125"/>
      <c r="G46" s="123"/>
      <c r="H46" s="123"/>
      <c r="I46" s="124"/>
      <c r="J46" s="126"/>
      <c r="K46" s="126"/>
      <c r="L46" s="126"/>
      <c r="P46" s="125"/>
      <c r="Q46" s="163"/>
    </row>
    <row r="47" spans="1:20" ht="12" hidden="1" customHeight="1" x14ac:dyDescent="0.2">
      <c r="A47" s="121"/>
      <c r="B47" s="160"/>
      <c r="C47" s="157"/>
      <c r="D47" s="125"/>
      <c r="E47" s="125"/>
      <c r="F47" s="125"/>
      <c r="G47" s="123"/>
      <c r="H47" s="123"/>
      <c r="I47" s="124"/>
      <c r="J47" s="126"/>
      <c r="K47" s="126"/>
      <c r="L47" s="126"/>
      <c r="P47" s="125"/>
      <c r="Q47" s="163"/>
    </row>
    <row r="48" spans="1:20" ht="12" hidden="1" customHeight="1" x14ac:dyDescent="0.2">
      <c r="A48" s="121"/>
      <c r="B48" s="237"/>
      <c r="C48" s="238"/>
      <c r="D48" s="234"/>
      <c r="E48" s="239"/>
      <c r="F48" s="240"/>
      <c r="G48" s="235"/>
      <c r="H48" s="234"/>
      <c r="I48" s="241"/>
      <c r="J48" s="126"/>
      <c r="K48" s="126"/>
      <c r="L48" s="126"/>
      <c r="P48" s="125"/>
      <c r="Q48" s="163"/>
      <c r="R48" s="166"/>
      <c r="S48" s="163"/>
    </row>
    <row r="49" spans="1:19" ht="12" hidden="1" customHeight="1" x14ac:dyDescent="0.2">
      <c r="A49" s="121"/>
      <c r="B49" s="242"/>
      <c r="C49" s="238"/>
      <c r="D49" s="235"/>
      <c r="E49" s="235"/>
      <c r="F49" s="235"/>
      <c r="G49" s="234"/>
      <c r="H49" s="234"/>
      <c r="I49" s="236"/>
      <c r="J49" s="126"/>
      <c r="K49" s="126"/>
      <c r="L49" s="126"/>
      <c r="P49" s="125"/>
      <c r="Q49" s="163"/>
      <c r="R49" s="166"/>
      <c r="S49" s="163"/>
    </row>
    <row r="50" spans="1:19" ht="12" hidden="1" customHeight="1" x14ac:dyDescent="0.2">
      <c r="A50" s="121"/>
      <c r="B50" s="242"/>
      <c r="C50" s="238"/>
      <c r="D50" s="235"/>
      <c r="E50" s="243"/>
      <c r="F50" s="244"/>
      <c r="G50" s="244"/>
      <c r="H50" s="245"/>
      <c r="I50" s="246"/>
      <c r="J50" s="126"/>
      <c r="K50" s="126"/>
      <c r="L50" s="126"/>
      <c r="P50" s="125"/>
      <c r="Q50" s="163"/>
      <c r="R50" s="166"/>
      <c r="S50" s="163"/>
    </row>
    <row r="51" spans="1:19" ht="124.5" hidden="1" customHeight="1" x14ac:dyDescent="0.2">
      <c r="A51" s="247"/>
      <c r="B51" s="617"/>
      <c r="C51" s="618"/>
      <c r="D51" s="618"/>
      <c r="E51" s="618"/>
      <c r="F51" s="618"/>
      <c r="G51" s="619"/>
      <c r="H51" s="234"/>
      <c r="I51" s="241"/>
      <c r="J51" s="126"/>
      <c r="K51" s="128"/>
      <c r="L51" s="128"/>
    </row>
    <row r="52" spans="1:19" ht="12.75" hidden="1" x14ac:dyDescent="0.2">
      <c r="A52" s="130"/>
      <c r="B52" s="131" t="s">
        <v>123</v>
      </c>
      <c r="C52" s="132"/>
      <c r="D52" s="132"/>
      <c r="E52" s="132"/>
      <c r="F52" s="132"/>
      <c r="G52" s="133"/>
      <c r="H52" s="133">
        <f>H50</f>
        <v>0</v>
      </c>
      <c r="I52" s="176">
        <f>I50</f>
        <v>0</v>
      </c>
      <c r="J52" s="126"/>
      <c r="K52" s="128"/>
      <c r="L52" s="128"/>
    </row>
    <row r="53" spans="1:19" ht="12.75" x14ac:dyDescent="0.2">
      <c r="A53" s="134"/>
      <c r="B53" s="135"/>
      <c r="C53" s="136"/>
      <c r="D53" s="136"/>
      <c r="E53" s="137"/>
      <c r="F53" s="137"/>
      <c r="G53" s="138"/>
      <c r="H53" s="138"/>
      <c r="I53" s="139"/>
      <c r="J53" s="126"/>
      <c r="K53" s="128"/>
      <c r="L53" s="128"/>
    </row>
    <row r="54" spans="1:19" ht="12.75" x14ac:dyDescent="0.2">
      <c r="A54" s="112" t="e">
        <f>#REF!</f>
        <v>#REF!</v>
      </c>
      <c r="B54" s="113" t="e">
        <f>#REF!</f>
        <v>#REF!</v>
      </c>
      <c r="C54" s="155"/>
      <c r="D54" s="155"/>
      <c r="E54" s="155"/>
      <c r="F54" s="155"/>
      <c r="G54" s="155"/>
      <c r="H54" s="114"/>
      <c r="I54" s="115"/>
      <c r="J54" s="116"/>
      <c r="K54" s="116"/>
      <c r="L54" s="116"/>
    </row>
    <row r="55" spans="1:19" ht="12.75" x14ac:dyDescent="0.2">
      <c r="A55" s="117"/>
      <c r="B55" s="118"/>
      <c r="C55" s="119"/>
      <c r="D55" s="119"/>
      <c r="E55" s="119"/>
      <c r="F55" s="119"/>
      <c r="G55" s="119"/>
      <c r="H55" s="157"/>
      <c r="I55" s="120"/>
      <c r="J55" s="116"/>
      <c r="K55" s="116"/>
      <c r="L55" s="116"/>
    </row>
    <row r="56" spans="1:19" ht="36" customHeight="1" x14ac:dyDescent="0.25">
      <c r="A56" s="152" t="e">
        <f>#REF!</f>
        <v>#REF!</v>
      </c>
      <c r="B56" s="153" t="e">
        <f>#REF!</f>
        <v>#REF!</v>
      </c>
      <c r="C56" s="177" t="s">
        <v>147</v>
      </c>
      <c r="D56" s="194" t="s">
        <v>160</v>
      </c>
      <c r="E56" s="194" t="s">
        <v>162</v>
      </c>
      <c r="F56" s="194" t="s">
        <v>161</v>
      </c>
      <c r="G56" s="150" t="s">
        <v>143</v>
      </c>
      <c r="H56" s="156" t="e">
        <f>H63</f>
        <v>#REF!</v>
      </c>
      <c r="I56" s="162" t="e">
        <f>I63</f>
        <v>#REF!</v>
      </c>
      <c r="J56" s="116">
        <f>SUM(J63:J63)</f>
        <v>0</v>
      </c>
      <c r="K56" s="116">
        <f>SUM(K63:K63)</f>
        <v>0</v>
      </c>
      <c r="L56" s="116">
        <f>SUM(L63:L63)</f>
        <v>0</v>
      </c>
    </row>
    <row r="57" spans="1:19" ht="16.149999999999999" customHeight="1" x14ac:dyDescent="0.2">
      <c r="A57" s="121"/>
      <c r="B57" s="186" t="s">
        <v>187</v>
      </c>
      <c r="C57" s="177" t="s">
        <v>78</v>
      </c>
      <c r="D57" s="125">
        <v>89748.683999999994</v>
      </c>
      <c r="E57" s="125">
        <v>16318</v>
      </c>
      <c r="F57" s="196">
        <f>D57-E57</f>
        <v>73430.683999999994</v>
      </c>
      <c r="G57" s="123"/>
      <c r="I57" s="124"/>
      <c r="J57" s="126">
        <f>J56+I57</f>
        <v>0</v>
      </c>
      <c r="K57" s="126">
        <f>K56+J57</f>
        <v>0</v>
      </c>
      <c r="L57" s="126">
        <f>L56+K57</f>
        <v>0</v>
      </c>
    </row>
    <row r="58" spans="1:19" ht="16.149999999999999" customHeight="1" x14ac:dyDescent="0.2">
      <c r="A58" s="121"/>
      <c r="B58" s="186" t="s">
        <v>188</v>
      </c>
      <c r="C58" s="177" t="s">
        <v>78</v>
      </c>
      <c r="D58" s="123"/>
      <c r="E58" s="125">
        <v>0</v>
      </c>
      <c r="F58" s="196" t="e">
        <f>#REF!+#REF!</f>
        <v>#REF!</v>
      </c>
      <c r="G58" s="123"/>
      <c r="I58" s="124"/>
      <c r="J58" s="126"/>
      <c r="K58" s="126"/>
      <c r="L58" s="126"/>
    </row>
    <row r="59" spans="1:19" ht="27.6" customHeight="1" x14ac:dyDescent="0.2">
      <c r="A59" s="121"/>
      <c r="B59" s="186" t="s">
        <v>190</v>
      </c>
      <c r="C59" s="177"/>
      <c r="D59" s="151"/>
      <c r="E59" s="125"/>
      <c r="G59" s="197" t="e">
        <f>ROUND(F58/F57,4)*100</f>
        <v>#REF!</v>
      </c>
      <c r="H59" s="198" t="e">
        <f>G59</f>
        <v>#REF!</v>
      </c>
      <c r="I59" s="199"/>
      <c r="J59" s="126"/>
      <c r="K59" s="126"/>
      <c r="L59" s="126"/>
    </row>
    <row r="60" spans="1:19" ht="12" customHeight="1" x14ac:dyDescent="0.2">
      <c r="A60" s="121"/>
      <c r="B60" s="230" t="s">
        <v>179</v>
      </c>
      <c r="C60" s="157" t="s">
        <v>23</v>
      </c>
      <c r="D60" s="125"/>
      <c r="E60" s="125"/>
      <c r="G60" s="125" t="e">
        <f>#REF!</f>
        <v>#REF!</v>
      </c>
      <c r="H60" s="123"/>
      <c r="I60" s="124"/>
      <c r="J60" s="126"/>
      <c r="K60" s="126"/>
      <c r="L60" s="126"/>
      <c r="P60" s="125"/>
      <c r="Q60" s="163"/>
      <c r="R60" s="166"/>
      <c r="S60" s="163"/>
    </row>
    <row r="61" spans="1:19" ht="12" customHeight="1" x14ac:dyDescent="0.2">
      <c r="A61" s="121"/>
      <c r="B61" s="230" t="s">
        <v>191</v>
      </c>
      <c r="C61" s="157" t="s">
        <v>23</v>
      </c>
      <c r="D61" s="125"/>
      <c r="E61" s="125"/>
      <c r="G61" s="221" t="e">
        <f>SUM(G59:G60)</f>
        <v>#REF!</v>
      </c>
      <c r="H61" s="123"/>
      <c r="I61" s="184" t="e">
        <f>SUM(G61)</f>
        <v>#REF!</v>
      </c>
      <c r="J61" s="126"/>
      <c r="K61" s="126"/>
      <c r="L61" s="126"/>
      <c r="P61" s="125"/>
      <c r="Q61" s="163"/>
      <c r="R61" s="166"/>
      <c r="S61" s="163"/>
    </row>
    <row r="62" spans="1:19" ht="12" customHeight="1" x14ac:dyDescent="0.2">
      <c r="A62" s="121"/>
      <c r="B62" s="161"/>
      <c r="C62" s="157"/>
      <c r="D62" s="123"/>
      <c r="E62" s="187"/>
      <c r="F62" s="187"/>
      <c r="G62" s="123"/>
      <c r="H62" s="123"/>
      <c r="I62" s="174"/>
      <c r="J62" s="126"/>
      <c r="K62" s="126"/>
      <c r="L62" s="126"/>
    </row>
    <row r="63" spans="1:19" ht="12.75" x14ac:dyDescent="0.2">
      <c r="A63" s="130"/>
      <c r="B63" s="131" t="s">
        <v>123</v>
      </c>
      <c r="C63" s="132"/>
      <c r="D63" s="132"/>
      <c r="E63" s="132"/>
      <c r="F63" s="132"/>
      <c r="G63" s="133"/>
      <c r="H63" s="195" t="e">
        <f>SUM(H59:H62)</f>
        <v>#REF!</v>
      </c>
      <c r="I63" s="195" t="e">
        <f>I61</f>
        <v>#REF!</v>
      </c>
      <c r="J63" s="126"/>
      <c r="K63" s="128"/>
      <c r="L63" s="128"/>
    </row>
  </sheetData>
  <mergeCells count="11">
    <mergeCell ref="B51:G51"/>
    <mergeCell ref="B17:G17"/>
    <mergeCell ref="B36:G36"/>
    <mergeCell ref="B3:G3"/>
    <mergeCell ref="B4:I4"/>
    <mergeCell ref="A5:I5"/>
    <mergeCell ref="A6:A7"/>
    <mergeCell ref="B6:B7"/>
    <mergeCell ref="C6:C7"/>
    <mergeCell ref="D6:G7"/>
    <mergeCell ref="H6:I6"/>
  </mergeCells>
  <printOptions horizontalCentered="1" gridLines="1"/>
  <pageMargins left="0.39370078740157483" right="0.39370078740157483" top="0.39370078740157483" bottom="0.78740157480314965" header="0.51181102362204722" footer="0.27559055118110237"/>
  <pageSetup paperSize="9" scale="58" orientation="portrait" r:id="rId1"/>
  <headerFooter alignWithMargins="0"/>
  <rowBreaks count="1" manualBreakCount="1">
    <brk id="51" max="8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85"/>
  <sheetViews>
    <sheetView showZeros="0" view="pageBreakPreview" topLeftCell="A125" zoomScale="70" zoomScaleNormal="70" zoomScaleSheetLayoutView="70" workbookViewId="0">
      <selection activeCell="A145" sqref="A145:XFD172"/>
    </sheetView>
  </sheetViews>
  <sheetFormatPr defaultColWidth="9.28515625" defaultRowHeight="12" x14ac:dyDescent="0.25"/>
  <cols>
    <col min="1" max="1" width="12.85546875" style="140" customWidth="1"/>
    <col min="2" max="2" width="64.7109375" style="140" customWidth="1"/>
    <col min="3" max="3" width="6" style="141" customWidth="1"/>
    <col min="4" max="4" width="12.5703125" style="141" customWidth="1"/>
    <col min="5" max="5" width="12.7109375" style="141" customWidth="1"/>
    <col min="6" max="6" width="12.42578125" style="141" customWidth="1"/>
    <col min="7" max="7" width="10.5703125" style="142" customWidth="1"/>
    <col min="8" max="8" width="11.28515625" style="142" customWidth="1"/>
    <col min="9" max="9" width="12" style="143" customWidth="1"/>
    <col min="10" max="11" width="11.28515625" style="107" hidden="1" customWidth="1"/>
    <col min="12" max="12" width="11.28515625" style="108" hidden="1" customWidth="1"/>
    <col min="13" max="17" width="0" style="109" hidden="1" customWidth="1"/>
    <col min="18" max="18" width="0.7109375" style="109" customWidth="1"/>
    <col min="19" max="16384" width="9.28515625" style="109"/>
  </cols>
  <sheetData>
    <row r="1" spans="1:19" ht="17.100000000000001" customHeight="1" x14ac:dyDescent="0.25">
      <c r="A1" s="369"/>
      <c r="B1" s="620" t="s">
        <v>230</v>
      </c>
      <c r="C1" s="620"/>
      <c r="D1" s="620"/>
      <c r="E1" s="620"/>
      <c r="F1" s="620"/>
      <c r="G1" s="253"/>
      <c r="H1" s="253"/>
      <c r="I1" s="253"/>
    </row>
    <row r="2" spans="1:19" ht="18" x14ac:dyDescent="0.25">
      <c r="A2" s="369"/>
      <c r="B2" s="621" t="s">
        <v>167</v>
      </c>
      <c r="C2" s="621"/>
      <c r="D2" s="621"/>
      <c r="E2" s="621"/>
      <c r="F2" s="621"/>
      <c r="G2" s="254"/>
      <c r="H2" s="254"/>
      <c r="I2" s="255"/>
    </row>
    <row r="3" spans="1:19" ht="41.45" customHeight="1" x14ac:dyDescent="0.25">
      <c r="A3" s="369"/>
      <c r="B3" s="626" t="s">
        <v>231</v>
      </c>
      <c r="C3" s="626"/>
      <c r="D3" s="626"/>
      <c r="E3" s="626"/>
      <c r="F3" s="626"/>
      <c r="G3" s="626"/>
      <c r="H3" s="256"/>
      <c r="I3" s="256"/>
    </row>
    <row r="4" spans="1:19" ht="19.149999999999999" customHeight="1" thickBot="1" x14ac:dyDescent="0.3">
      <c r="A4" s="369"/>
      <c r="B4" s="627" t="s">
        <v>232</v>
      </c>
      <c r="C4" s="627"/>
      <c r="D4" s="627"/>
      <c r="E4" s="627"/>
      <c r="F4" s="627"/>
      <c r="G4" s="627"/>
      <c r="H4" s="627"/>
      <c r="I4" s="627"/>
    </row>
    <row r="5" spans="1:19" ht="21.6" customHeight="1" thickBot="1" x14ac:dyDescent="0.3">
      <c r="A5" s="628" t="s">
        <v>272</v>
      </c>
      <c r="B5" s="629"/>
      <c r="C5" s="629"/>
      <c r="D5" s="629"/>
      <c r="E5" s="629"/>
      <c r="F5" s="629"/>
      <c r="G5" s="629"/>
      <c r="H5" s="629"/>
      <c r="I5" s="630"/>
    </row>
    <row r="6" spans="1:19" ht="25.15" customHeight="1" x14ac:dyDescent="0.25">
      <c r="A6" s="631" t="s">
        <v>74</v>
      </c>
      <c r="B6" s="633" t="s">
        <v>118</v>
      </c>
      <c r="C6" s="635" t="s">
        <v>147</v>
      </c>
      <c r="D6" s="637" t="s">
        <v>139</v>
      </c>
      <c r="E6" s="638"/>
      <c r="F6" s="638"/>
      <c r="G6" s="638"/>
      <c r="H6" s="641" t="s">
        <v>120</v>
      </c>
      <c r="I6" s="642"/>
      <c r="J6" s="202" t="s">
        <v>119</v>
      </c>
      <c r="K6" s="110" t="s">
        <v>120</v>
      </c>
      <c r="L6" s="110" t="s">
        <v>121</v>
      </c>
    </row>
    <row r="7" spans="1:19" ht="28.9" customHeight="1" thickBot="1" x14ac:dyDescent="0.3">
      <c r="A7" s="632"/>
      <c r="B7" s="634"/>
      <c r="C7" s="636"/>
      <c r="D7" s="639"/>
      <c r="E7" s="640"/>
      <c r="F7" s="640"/>
      <c r="G7" s="640"/>
      <c r="H7" s="373" t="s">
        <v>137</v>
      </c>
      <c r="I7" s="374" t="s">
        <v>138</v>
      </c>
      <c r="J7" s="200" t="s">
        <v>122</v>
      </c>
      <c r="K7" s="111" t="s">
        <v>122</v>
      </c>
      <c r="L7" s="111" t="s">
        <v>122</v>
      </c>
    </row>
    <row r="8" spans="1:19" ht="22.15" customHeight="1" x14ac:dyDescent="0.25">
      <c r="A8" s="308" t="e">
        <f>#REF!</f>
        <v>#REF!</v>
      </c>
      <c r="B8" s="309" t="e">
        <f>#REF!</f>
        <v>#REF!</v>
      </c>
      <c r="C8" s="310"/>
      <c r="D8" s="310"/>
      <c r="E8" s="310"/>
      <c r="F8" s="310"/>
      <c r="G8" s="310"/>
      <c r="H8" s="310"/>
      <c r="I8" s="311"/>
      <c r="J8" s="116"/>
      <c r="K8" s="116"/>
      <c r="L8" s="116"/>
    </row>
    <row r="9" spans="1:19" ht="15.75" hidden="1" x14ac:dyDescent="0.25">
      <c r="A9" s="350"/>
      <c r="B9" s="351"/>
      <c r="C9" s="352"/>
      <c r="D9" s="352"/>
      <c r="E9" s="352"/>
      <c r="F9" s="352"/>
      <c r="G9" s="352"/>
      <c r="H9" s="290"/>
      <c r="I9" s="353"/>
      <c r="J9" s="116"/>
      <c r="K9" s="116"/>
      <c r="L9" s="116"/>
      <c r="M9" s="109" t="s">
        <v>145</v>
      </c>
    </row>
    <row r="10" spans="1:19" ht="58.15" hidden="1" customHeight="1" x14ac:dyDescent="0.25">
      <c r="A10" s="257" t="e">
        <f>#REF!</f>
        <v>#REF!</v>
      </c>
      <c r="B10" s="258" t="e">
        <f>#REF!</f>
        <v>#REF!</v>
      </c>
      <c r="C10" s="259" t="s">
        <v>147</v>
      </c>
      <c r="D10" s="260" t="s">
        <v>185</v>
      </c>
      <c r="E10" s="260" t="s">
        <v>157</v>
      </c>
      <c r="F10" s="260"/>
      <c r="G10" s="260" t="s">
        <v>159</v>
      </c>
      <c r="H10" s="262">
        <f>H18</f>
        <v>0</v>
      </c>
      <c r="I10" s="263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136</v>
      </c>
      <c r="N10" s="150" t="s">
        <v>141</v>
      </c>
      <c r="O10" s="150" t="s">
        <v>142</v>
      </c>
      <c r="P10" s="150" t="s">
        <v>144</v>
      </c>
    </row>
    <row r="11" spans="1:19" ht="25.5" hidden="1" customHeight="1" x14ac:dyDescent="0.25">
      <c r="A11" s="288"/>
      <c r="B11" s="295" t="s">
        <v>180</v>
      </c>
      <c r="C11" s="294"/>
      <c r="D11" s="266"/>
      <c r="E11" s="291"/>
      <c r="F11" s="291"/>
      <c r="G11" s="266"/>
      <c r="H11" s="266"/>
      <c r="I11" s="268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hidden="1" customHeight="1" x14ac:dyDescent="0.25">
      <c r="A12" s="288"/>
      <c r="B12" s="289" t="s">
        <v>182</v>
      </c>
      <c r="C12" s="290" t="s">
        <v>16</v>
      </c>
      <c r="D12" s="291">
        <v>437.52</v>
      </c>
      <c r="E12" s="291"/>
      <c r="F12" s="291"/>
      <c r="G12" s="266"/>
      <c r="H12" s="266"/>
      <c r="I12" s="268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 t="shared" ref="Q12:Q15" si="0">SUM(M12:P12)</f>
        <v>0.99999999999999989</v>
      </c>
      <c r="S12" s="232"/>
    </row>
    <row r="13" spans="1:19" ht="17.100000000000001" hidden="1" customHeight="1" x14ac:dyDescent="0.25">
      <c r="A13" s="288"/>
      <c r="B13" s="289" t="s">
        <v>183</v>
      </c>
      <c r="C13" s="290" t="s">
        <v>16</v>
      </c>
      <c r="D13" s="291">
        <v>287.16000000000003</v>
      </c>
      <c r="E13" s="291"/>
      <c r="F13" s="291"/>
      <c r="G13" s="266"/>
      <c r="H13" s="266"/>
      <c r="I13" s="268"/>
      <c r="J13" s="126"/>
      <c r="K13" s="126"/>
      <c r="L13" s="126"/>
      <c r="P13" s="125">
        <v>0</v>
      </c>
      <c r="Q13" s="163">
        <f t="shared" si="0"/>
        <v>0</v>
      </c>
    </row>
    <row r="14" spans="1:19" ht="17.100000000000001" hidden="1" customHeight="1" x14ac:dyDescent="0.25">
      <c r="A14" s="288"/>
      <c r="B14" s="289" t="s">
        <v>181</v>
      </c>
      <c r="C14" s="290"/>
      <c r="D14" s="291">
        <f>SUM(D12:D13)</f>
        <v>724.68000000000006</v>
      </c>
      <c r="E14" s="291">
        <f>D14</f>
        <v>724.68000000000006</v>
      </c>
      <c r="F14" s="291"/>
      <c r="G14" s="291">
        <f>E14</f>
        <v>724.68000000000006</v>
      </c>
      <c r="H14" s="266"/>
      <c r="I14" s="268">
        <f>G14</f>
        <v>724.68000000000006</v>
      </c>
      <c r="J14" s="126"/>
      <c r="K14" s="126"/>
      <c r="L14" s="126"/>
      <c r="P14" s="125"/>
      <c r="Q14" s="163"/>
    </row>
    <row r="15" spans="1:19" ht="12" hidden="1" customHeight="1" x14ac:dyDescent="0.25">
      <c r="A15" s="288"/>
      <c r="B15" s="300" t="s">
        <v>207</v>
      </c>
      <c r="C15" s="290" t="s">
        <v>16</v>
      </c>
      <c r="D15" s="370">
        <v>434.80800000000005</v>
      </c>
      <c r="E15" s="298">
        <f>D15</f>
        <v>434.80800000000005</v>
      </c>
      <c r="F15" s="291"/>
      <c r="G15" s="291">
        <f>E15</f>
        <v>434.80800000000005</v>
      </c>
      <c r="H15" s="266"/>
      <c r="I15" s="268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 t="shared" si="0"/>
        <v>8.5299999999999994</v>
      </c>
      <c r="R15" s="166"/>
      <c r="S15" s="163"/>
    </row>
    <row r="16" spans="1:19" ht="12" hidden="1" customHeight="1" x14ac:dyDescent="0.25">
      <c r="A16" s="288"/>
      <c r="B16" s="300" t="s">
        <v>208</v>
      </c>
      <c r="C16" s="290" t="s">
        <v>16</v>
      </c>
      <c r="D16" s="371">
        <f>D14-D15</f>
        <v>289.87200000000001</v>
      </c>
      <c r="E16" s="301">
        <f>E14-E15</f>
        <v>289.87200000000001</v>
      </c>
      <c r="F16" s="291"/>
      <c r="G16" s="301">
        <f>E16</f>
        <v>289.87200000000001</v>
      </c>
      <c r="H16" s="302"/>
      <c r="I16" s="303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2" ht="76.900000000000006" hidden="1" customHeight="1" x14ac:dyDescent="0.2">
      <c r="A17" s="264"/>
      <c r="B17" s="624" t="s">
        <v>248</v>
      </c>
      <c r="C17" s="625"/>
      <c r="D17" s="625"/>
      <c r="E17" s="625"/>
      <c r="F17" s="625"/>
      <c r="G17" s="625"/>
      <c r="H17" s="266"/>
      <c r="I17" s="268"/>
      <c r="J17" s="126"/>
      <c r="K17" s="128"/>
      <c r="L17" s="128"/>
    </row>
    <row r="18" spans="1:12" ht="15.75" hidden="1" x14ac:dyDescent="0.25">
      <c r="A18" s="272"/>
      <c r="B18" s="273" t="s">
        <v>123</v>
      </c>
      <c r="C18" s="275"/>
      <c r="D18" s="275"/>
      <c r="E18" s="275"/>
      <c r="F18" s="275"/>
      <c r="G18" s="276"/>
      <c r="H18" s="276">
        <f>H16</f>
        <v>0</v>
      </c>
      <c r="I18" s="277">
        <f>I16</f>
        <v>724.68000000000006</v>
      </c>
      <c r="J18" s="126"/>
      <c r="K18" s="128"/>
      <c r="L18" s="128"/>
    </row>
    <row r="19" spans="1:12" ht="15.75" hidden="1" x14ac:dyDescent="0.25">
      <c r="A19" s="285"/>
      <c r="B19" s="286"/>
      <c r="C19" s="287"/>
      <c r="D19" s="281"/>
      <c r="E19" s="281"/>
      <c r="F19" s="281"/>
      <c r="G19" s="282"/>
      <c r="H19" s="282"/>
      <c r="I19" s="283"/>
      <c r="J19" s="126"/>
      <c r="K19" s="128"/>
      <c r="L19" s="128"/>
    </row>
    <row r="20" spans="1:12" ht="47.25" hidden="1" x14ac:dyDescent="0.25">
      <c r="A20" s="257" t="e">
        <f>#REF!</f>
        <v>#REF!</v>
      </c>
      <c r="B20" s="258" t="e">
        <f>#REF!</f>
        <v>#REF!</v>
      </c>
      <c r="C20" s="259" t="s">
        <v>147</v>
      </c>
      <c r="D20" s="260" t="s">
        <v>200</v>
      </c>
      <c r="E20" s="260"/>
      <c r="F20" s="260"/>
      <c r="G20" s="260" t="s">
        <v>143</v>
      </c>
      <c r="H20" s="262">
        <f>H24</f>
        <v>0</v>
      </c>
      <c r="I20" s="263">
        <f>I24</f>
        <v>0.2</v>
      </c>
      <c r="J20" s="126"/>
      <c r="K20" s="128"/>
      <c r="L20" s="128"/>
    </row>
    <row r="21" spans="1:12" ht="15.75" hidden="1" x14ac:dyDescent="0.25">
      <c r="A21" s="288"/>
      <c r="B21" s="372"/>
      <c r="C21" s="266"/>
      <c r="D21" s="291"/>
      <c r="E21" s="291"/>
      <c r="F21" s="260"/>
      <c r="G21" s="266"/>
      <c r="H21" s="267"/>
      <c r="I21" s="268"/>
      <c r="J21" s="126"/>
      <c r="K21" s="128"/>
      <c r="L21" s="128"/>
    </row>
    <row r="22" spans="1:12" s="251" customFormat="1" ht="30" hidden="1" x14ac:dyDescent="0.25">
      <c r="A22" s="257"/>
      <c r="B22" s="269" t="s">
        <v>178</v>
      </c>
      <c r="C22" s="265" t="s">
        <v>152</v>
      </c>
      <c r="D22" s="265">
        <v>0.2</v>
      </c>
      <c r="E22" s="265"/>
      <c r="F22" s="265"/>
      <c r="G22" s="271">
        <v>0.2</v>
      </c>
      <c r="H22" s="271"/>
      <c r="I22" s="263">
        <v>0.2</v>
      </c>
      <c r="J22" s="249"/>
      <c r="K22" s="250"/>
      <c r="L22" s="250"/>
    </row>
    <row r="23" spans="1:12" ht="15.75" hidden="1" x14ac:dyDescent="0.25">
      <c r="A23" s="288"/>
      <c r="B23" s="264"/>
      <c r="C23" s="291"/>
      <c r="D23" s="291"/>
      <c r="E23" s="291"/>
      <c r="F23" s="291"/>
      <c r="G23" s="266"/>
      <c r="H23" s="266"/>
      <c r="I23" s="268"/>
      <c r="J23" s="126"/>
      <c r="K23" s="128"/>
      <c r="L23" s="128"/>
    </row>
    <row r="24" spans="1:12" ht="15.75" hidden="1" x14ac:dyDescent="0.25">
      <c r="A24" s="272"/>
      <c r="B24" s="273" t="s">
        <v>123</v>
      </c>
      <c r="C24" s="275"/>
      <c r="D24" s="275"/>
      <c r="E24" s="275"/>
      <c r="F24" s="275"/>
      <c r="G24" s="276"/>
      <c r="H24" s="276">
        <f>H22</f>
        <v>0</v>
      </c>
      <c r="I24" s="277">
        <f>I22</f>
        <v>0.2</v>
      </c>
      <c r="J24" s="126"/>
      <c r="K24" s="128"/>
      <c r="L24" s="128"/>
    </row>
    <row r="25" spans="1:12" ht="15.75" x14ac:dyDescent="0.25">
      <c r="A25" s="285"/>
      <c r="B25" s="286"/>
      <c r="C25" s="281"/>
      <c r="D25" s="281"/>
      <c r="E25" s="281"/>
      <c r="F25" s="281"/>
      <c r="G25" s="282"/>
      <c r="H25" s="282"/>
      <c r="I25" s="283"/>
      <c r="J25" s="126"/>
      <c r="K25" s="128"/>
      <c r="L25" s="128"/>
    </row>
    <row r="26" spans="1:12" s="251" customFormat="1" ht="47.25" x14ac:dyDescent="0.25">
      <c r="A26" s="257" t="e">
        <f>#REF!</f>
        <v>#REF!</v>
      </c>
      <c r="B26" s="258" t="e">
        <f>#REF!</f>
        <v>#REF!</v>
      </c>
      <c r="C26" s="259" t="s">
        <v>147</v>
      </c>
      <c r="D26" s="260" t="s">
        <v>249</v>
      </c>
      <c r="E26" s="261"/>
      <c r="F26" s="261"/>
      <c r="G26" s="260" t="s">
        <v>143</v>
      </c>
      <c r="H26" s="262">
        <f>H30</f>
        <v>1</v>
      </c>
      <c r="I26" s="263">
        <f>I30</f>
        <v>1</v>
      </c>
      <c r="J26" s="249"/>
      <c r="K26" s="250"/>
      <c r="L26" s="250"/>
    </row>
    <row r="27" spans="1:12" s="251" customFormat="1" ht="15.75" x14ac:dyDescent="0.2">
      <c r="A27" s="257"/>
      <c r="B27" s="264" t="s">
        <v>195</v>
      </c>
      <c r="C27" s="257"/>
      <c r="D27" s="265"/>
      <c r="E27" s="261"/>
      <c r="F27" s="261"/>
      <c r="G27" s="266"/>
      <c r="H27" s="267"/>
      <c r="I27" s="268"/>
      <c r="J27" s="249"/>
      <c r="K27" s="250"/>
      <c r="L27" s="250"/>
    </row>
    <row r="28" spans="1:12" s="251" customFormat="1" ht="30.75" x14ac:dyDescent="0.25">
      <c r="A28" s="257"/>
      <c r="B28" s="269" t="s">
        <v>233</v>
      </c>
      <c r="C28" s="270" t="e">
        <f>#REF!</f>
        <v>#REF!</v>
      </c>
      <c r="D28" s="270" t="e">
        <f>#REF!</f>
        <v>#REF!</v>
      </c>
      <c r="E28" s="261"/>
      <c r="F28" s="261"/>
      <c r="G28" s="265">
        <v>1</v>
      </c>
      <c r="H28" s="271">
        <f>G28</f>
        <v>1</v>
      </c>
      <c r="I28" s="263">
        <f>H28</f>
        <v>1</v>
      </c>
      <c r="J28" s="249"/>
      <c r="K28" s="250"/>
      <c r="L28" s="250"/>
    </row>
    <row r="29" spans="1:12" s="251" customFormat="1" ht="15.75" x14ac:dyDescent="0.2">
      <c r="A29" s="257"/>
      <c r="B29" s="264"/>
      <c r="C29" s="257"/>
      <c r="D29" s="270"/>
      <c r="E29" s="261"/>
      <c r="F29" s="261"/>
      <c r="G29" s="266"/>
      <c r="H29" s="266"/>
      <c r="I29" s="268"/>
      <c r="J29" s="249"/>
      <c r="K29" s="250"/>
      <c r="L29" s="250"/>
    </row>
    <row r="30" spans="1:12" s="251" customFormat="1" ht="15.75" x14ac:dyDescent="0.25">
      <c r="A30" s="272"/>
      <c r="B30" s="273" t="s">
        <v>123</v>
      </c>
      <c r="C30" s="274"/>
      <c r="D30" s="274"/>
      <c r="E30" s="275"/>
      <c r="F30" s="275"/>
      <c r="G30" s="276"/>
      <c r="H30" s="276">
        <f>H28</f>
        <v>1</v>
      </c>
      <c r="I30" s="277">
        <f>I28</f>
        <v>1</v>
      </c>
      <c r="J30" s="249"/>
      <c r="K30" s="250"/>
      <c r="L30" s="250"/>
    </row>
    <row r="31" spans="1:12" s="251" customFormat="1" ht="15.75" x14ac:dyDescent="0.25">
      <c r="A31" s="257"/>
      <c r="B31" s="258"/>
      <c r="C31" s="257"/>
      <c r="D31" s="270"/>
      <c r="E31" s="261"/>
      <c r="F31" s="261"/>
      <c r="G31" s="278"/>
      <c r="H31" s="278"/>
      <c r="I31" s="279"/>
      <c r="J31" s="249"/>
      <c r="K31" s="250"/>
      <c r="L31" s="250"/>
    </row>
    <row r="32" spans="1:12" s="251" customFormat="1" ht="15.75" x14ac:dyDescent="0.25">
      <c r="A32" s="257"/>
      <c r="B32" s="258"/>
      <c r="C32" s="257"/>
      <c r="D32" s="270"/>
      <c r="E32" s="261"/>
      <c r="F32" s="261"/>
      <c r="G32" s="278"/>
      <c r="H32" s="278"/>
      <c r="I32" s="279"/>
      <c r="J32" s="249"/>
      <c r="K32" s="250"/>
      <c r="L32" s="250"/>
    </row>
    <row r="33" spans="1:17" s="251" customFormat="1" ht="47.25" x14ac:dyDescent="0.25">
      <c r="A33" s="257" t="e">
        <f>#REF!</f>
        <v>#REF!</v>
      </c>
      <c r="B33" s="258" t="e">
        <f>#REF!</f>
        <v>#REF!</v>
      </c>
      <c r="C33" s="257" t="e">
        <f>#REF!</f>
        <v>#REF!</v>
      </c>
      <c r="D33" s="260" t="s">
        <v>249</v>
      </c>
      <c r="E33" s="261"/>
      <c r="F33" s="261"/>
      <c r="G33" s="260" t="s">
        <v>143</v>
      </c>
      <c r="H33" s="262">
        <f>H41</f>
        <v>41.19</v>
      </c>
      <c r="I33" s="263">
        <f>I41</f>
        <v>41.19</v>
      </c>
      <c r="J33" s="249"/>
      <c r="K33" s="250"/>
      <c r="L33" s="250"/>
    </row>
    <row r="34" spans="1:17" ht="15.75" x14ac:dyDescent="0.25">
      <c r="A34" s="257"/>
      <c r="B34" s="257"/>
      <c r="C34" s="257"/>
      <c r="D34" s="280"/>
      <c r="E34" s="281"/>
      <c r="F34" s="281"/>
      <c r="G34" s="282"/>
      <c r="H34" s="282"/>
      <c r="I34" s="283"/>
      <c r="J34" s="126"/>
      <c r="K34" s="128"/>
      <c r="L34" s="128"/>
    </row>
    <row r="35" spans="1:17" s="251" customFormat="1" ht="31.5" x14ac:dyDescent="0.25">
      <c r="A35" s="257"/>
      <c r="B35" s="269" t="s">
        <v>234</v>
      </c>
      <c r="C35" s="270" t="s">
        <v>26</v>
      </c>
      <c r="D35" s="270" t="e">
        <f>#REF!</f>
        <v>#REF!</v>
      </c>
      <c r="E35" s="261"/>
      <c r="F35" s="261"/>
      <c r="G35" s="265"/>
      <c r="H35" s="271"/>
      <c r="I35" s="263"/>
      <c r="J35" s="249"/>
      <c r="K35" s="250"/>
      <c r="L35" s="250"/>
    </row>
    <row r="36" spans="1:17" s="251" customFormat="1" ht="15.75" x14ac:dyDescent="0.25">
      <c r="A36" s="257"/>
      <c r="B36" s="284" t="s">
        <v>196</v>
      </c>
      <c r="C36" s="270" t="s">
        <v>26</v>
      </c>
      <c r="D36" s="270"/>
      <c r="E36" s="261"/>
      <c r="F36" s="261"/>
      <c r="G36" s="265">
        <f>10.14</f>
        <v>10.14</v>
      </c>
      <c r="H36" s="265">
        <f>10.14</f>
        <v>10.14</v>
      </c>
      <c r="I36" s="263">
        <f>H36</f>
        <v>10.14</v>
      </c>
      <c r="J36" s="249"/>
      <c r="K36" s="250"/>
      <c r="L36" s="250"/>
    </row>
    <row r="37" spans="1:17" s="251" customFormat="1" ht="15.75" x14ac:dyDescent="0.25">
      <c r="A37" s="257"/>
      <c r="B37" s="284" t="s">
        <v>197</v>
      </c>
      <c r="C37" s="270" t="s">
        <v>26</v>
      </c>
      <c r="D37" s="270"/>
      <c r="E37" s="261"/>
      <c r="F37" s="261"/>
      <c r="G37" s="265">
        <v>11.54</v>
      </c>
      <c r="H37" s="265">
        <f>G37</f>
        <v>11.54</v>
      </c>
      <c r="I37" s="263">
        <f t="shared" ref="I37:I39" si="1">H37</f>
        <v>11.54</v>
      </c>
      <c r="J37" s="249"/>
      <c r="K37" s="250"/>
      <c r="L37" s="250"/>
    </row>
    <row r="38" spans="1:17" s="251" customFormat="1" ht="15.75" x14ac:dyDescent="0.25">
      <c r="A38" s="257"/>
      <c r="B38" s="284" t="s">
        <v>198</v>
      </c>
      <c r="C38" s="270" t="s">
        <v>26</v>
      </c>
      <c r="D38" s="270"/>
      <c r="E38" s="261"/>
      <c r="F38" s="261"/>
      <c r="G38" s="265">
        <v>8.93</v>
      </c>
      <c r="H38" s="265">
        <v>8.93</v>
      </c>
      <c r="I38" s="263">
        <f t="shared" si="1"/>
        <v>8.93</v>
      </c>
      <c r="J38" s="249"/>
      <c r="K38" s="250"/>
      <c r="L38" s="250"/>
    </row>
    <row r="39" spans="1:17" s="251" customFormat="1" ht="15.75" x14ac:dyDescent="0.25">
      <c r="A39" s="257"/>
      <c r="B39" s="284" t="s">
        <v>199</v>
      </c>
      <c r="C39" s="270" t="s">
        <v>26</v>
      </c>
      <c r="D39" s="270"/>
      <c r="E39" s="261"/>
      <c r="F39" s="261"/>
      <c r="G39" s="265">
        <v>10.58</v>
      </c>
      <c r="H39" s="265">
        <f>G39</f>
        <v>10.58</v>
      </c>
      <c r="I39" s="263">
        <f t="shared" si="1"/>
        <v>10.58</v>
      </c>
      <c r="J39" s="249"/>
      <c r="K39" s="250"/>
      <c r="L39" s="250"/>
    </row>
    <row r="40" spans="1:17" s="251" customFormat="1" ht="15.75" x14ac:dyDescent="0.2">
      <c r="A40" s="257"/>
      <c r="B40" s="264"/>
      <c r="C40" s="257"/>
      <c r="D40" s="265"/>
      <c r="E40" s="261"/>
      <c r="F40" s="261"/>
      <c r="G40" s="266"/>
      <c r="H40" s="266"/>
      <c r="I40" s="268"/>
      <c r="J40" s="249"/>
      <c r="K40" s="250"/>
      <c r="L40" s="250"/>
    </row>
    <row r="41" spans="1:17" s="251" customFormat="1" ht="15.75" x14ac:dyDescent="0.25">
      <c r="A41" s="272"/>
      <c r="B41" s="273" t="s">
        <v>123</v>
      </c>
      <c r="C41" s="275"/>
      <c r="D41" s="275"/>
      <c r="E41" s="275"/>
      <c r="F41" s="275"/>
      <c r="G41" s="276"/>
      <c r="H41" s="276">
        <f>SUM(H36:H40)</f>
        <v>41.19</v>
      </c>
      <c r="I41" s="276">
        <f>SUM(I36:I40)</f>
        <v>41.19</v>
      </c>
      <c r="J41" s="249"/>
      <c r="K41" s="250"/>
      <c r="L41" s="250"/>
    </row>
    <row r="42" spans="1:17" s="251" customFormat="1" ht="15.75" x14ac:dyDescent="0.25">
      <c r="A42" s="285"/>
      <c r="B42" s="286"/>
      <c r="C42" s="287"/>
      <c r="D42" s="281"/>
      <c r="E42" s="281"/>
      <c r="F42" s="281"/>
      <c r="G42" s="282"/>
      <c r="H42" s="282"/>
      <c r="I42" s="282"/>
      <c r="J42" s="249"/>
      <c r="K42" s="250"/>
      <c r="L42" s="250"/>
    </row>
    <row r="43" spans="1:17" ht="126" hidden="1" x14ac:dyDescent="0.25">
      <c r="A43" s="257" t="e">
        <f>#REF!</f>
        <v>#REF!</v>
      </c>
      <c r="B43" s="258" t="e">
        <f>#REF!</f>
        <v>#REF!</v>
      </c>
      <c r="C43" s="259" t="s">
        <v>147</v>
      </c>
      <c r="D43" s="260" t="s">
        <v>185</v>
      </c>
      <c r="E43" s="260"/>
      <c r="F43" s="260" t="s">
        <v>192</v>
      </c>
      <c r="G43" s="260" t="s">
        <v>159</v>
      </c>
      <c r="H43" s="262">
        <f>H55</f>
        <v>0</v>
      </c>
      <c r="I43" s="263">
        <f>I53</f>
        <v>750</v>
      </c>
      <c r="J43" s="126"/>
      <c r="K43" s="128"/>
      <c r="L43" s="128"/>
    </row>
    <row r="44" spans="1:17" ht="15.75" hidden="1" x14ac:dyDescent="0.25">
      <c r="A44" s="288"/>
      <c r="B44" s="289"/>
      <c r="C44" s="290"/>
      <c r="D44" s="291"/>
      <c r="E44" s="291"/>
      <c r="F44" s="291"/>
      <c r="G44" s="266"/>
      <c r="H44" s="266"/>
      <c r="I44" s="292"/>
      <c r="J44" s="126"/>
      <c r="K44" s="126"/>
      <c r="L44" s="126"/>
      <c r="P44" s="125"/>
      <c r="Q44" s="163"/>
    </row>
    <row r="45" spans="1:17" ht="25.5" hidden="1" customHeight="1" x14ac:dyDescent="0.25">
      <c r="A45" s="288"/>
      <c r="B45" s="293" t="s">
        <v>180</v>
      </c>
      <c r="C45" s="294"/>
      <c r="D45" s="266"/>
      <c r="E45" s="291"/>
      <c r="F45" s="291"/>
      <c r="G45" s="266"/>
      <c r="H45" s="266"/>
      <c r="I45" s="292"/>
      <c r="J45" s="126"/>
      <c r="K45" s="126"/>
      <c r="L45" s="126"/>
      <c r="M45" s="22">
        <v>5.1100000000000003</v>
      </c>
      <c r="N45" s="22">
        <v>2.23</v>
      </c>
      <c r="O45" s="22">
        <v>2.23</v>
      </c>
      <c r="P45" s="125">
        <v>0</v>
      </c>
      <c r="Q45" s="163">
        <f>SUM(M45:P45)</f>
        <v>9.57</v>
      </c>
    </row>
    <row r="46" spans="1:17" ht="12" hidden="1" customHeight="1" x14ac:dyDescent="0.25">
      <c r="A46" s="288"/>
      <c r="B46" s="289" t="s">
        <v>182</v>
      </c>
      <c r="C46" s="290" t="s">
        <v>16</v>
      </c>
      <c r="D46" s="291">
        <v>437.52</v>
      </c>
      <c r="E46" s="291"/>
      <c r="F46" s="291"/>
      <c r="G46" s="266"/>
      <c r="H46" s="266"/>
      <c r="I46" s="292"/>
      <c r="J46" s="126"/>
      <c r="K46" s="126"/>
      <c r="L46" s="126"/>
      <c r="M46" s="165">
        <f>M45/Q45</f>
        <v>0.53396029258098221</v>
      </c>
      <c r="N46" s="165">
        <f>N45/Q45</f>
        <v>0.23301985370950887</v>
      </c>
      <c r="O46" s="165">
        <f>O45/Q45</f>
        <v>0.23301985370950887</v>
      </c>
      <c r="P46" s="125">
        <v>0</v>
      </c>
      <c r="Q46" s="164">
        <f t="shared" ref="Q46:Q47" si="2">SUM(M46:P46)</f>
        <v>0.99999999999999989</v>
      </c>
    </row>
    <row r="47" spans="1:17" ht="17.100000000000001" hidden="1" customHeight="1" x14ac:dyDescent="0.25">
      <c r="A47" s="288"/>
      <c r="B47" s="289" t="s">
        <v>183</v>
      </c>
      <c r="C47" s="290" t="s">
        <v>16</v>
      </c>
      <c r="D47" s="291">
        <v>287.16000000000003</v>
      </c>
      <c r="E47" s="291"/>
      <c r="F47" s="291"/>
      <c r="G47" s="266"/>
      <c r="H47" s="266"/>
      <c r="I47" s="292"/>
      <c r="J47" s="126"/>
      <c r="K47" s="126"/>
      <c r="L47" s="126"/>
      <c r="P47" s="125">
        <v>0</v>
      </c>
      <c r="Q47" s="163">
        <f t="shared" si="2"/>
        <v>0</v>
      </c>
    </row>
    <row r="48" spans="1:17" ht="17.100000000000001" hidden="1" customHeight="1" x14ac:dyDescent="0.25">
      <c r="A48" s="288"/>
      <c r="B48" s="289" t="s">
        <v>181</v>
      </c>
      <c r="C48" s="290"/>
      <c r="D48" s="291">
        <f>SUM(D46:D47)</f>
        <v>724.68000000000006</v>
      </c>
      <c r="E48" s="291"/>
      <c r="F48" s="291"/>
      <c r="G48" s="266"/>
      <c r="H48" s="266"/>
      <c r="I48" s="292"/>
      <c r="J48" s="126"/>
      <c r="K48" s="126"/>
      <c r="L48" s="126"/>
      <c r="P48" s="125"/>
      <c r="Q48" s="163"/>
    </row>
    <row r="49" spans="1:19" ht="23.65" hidden="1" customHeight="1" x14ac:dyDescent="0.25">
      <c r="A49" s="288"/>
      <c r="B49" s="295" t="s">
        <v>184</v>
      </c>
      <c r="C49" s="290"/>
      <c r="D49" s="291"/>
      <c r="E49" s="291"/>
      <c r="F49" s="291"/>
      <c r="G49" s="266"/>
      <c r="H49" s="266"/>
      <c r="I49" s="292"/>
      <c r="J49" s="126"/>
      <c r="K49" s="126"/>
      <c r="L49" s="126"/>
      <c r="P49" s="125"/>
      <c r="Q49" s="163"/>
    </row>
    <row r="50" spans="1:19" ht="80.099999999999994" hidden="1" customHeight="1" x14ac:dyDescent="0.25">
      <c r="A50" s="288"/>
      <c r="B50" s="289" t="s">
        <v>186</v>
      </c>
      <c r="C50" s="290" t="s">
        <v>16</v>
      </c>
      <c r="D50" s="291">
        <v>25.319999999999936</v>
      </c>
      <c r="E50" s="291"/>
      <c r="F50" s="291"/>
      <c r="G50" s="266"/>
      <c r="H50" s="266"/>
      <c r="I50" s="292"/>
      <c r="J50" s="126"/>
      <c r="K50" s="126"/>
      <c r="L50" s="126"/>
      <c r="P50" s="125"/>
      <c r="Q50" s="163"/>
    </row>
    <row r="51" spans="1:19" ht="24" hidden="1" customHeight="1" x14ac:dyDescent="0.25">
      <c r="A51" s="288"/>
      <c r="B51" s="296" t="s">
        <v>176</v>
      </c>
      <c r="C51" s="297" t="s">
        <v>16</v>
      </c>
      <c r="D51" s="266">
        <f>D50+D48</f>
        <v>750</v>
      </c>
      <c r="E51" s="298"/>
      <c r="F51" s="299">
        <f>D51-E51</f>
        <v>750</v>
      </c>
      <c r="G51" s="291">
        <f>D51</f>
        <v>750</v>
      </c>
      <c r="H51" s="266"/>
      <c r="I51" s="268"/>
      <c r="J51" s="126"/>
      <c r="K51" s="126"/>
      <c r="L51" s="126"/>
      <c r="M51" s="109">
        <v>4.55</v>
      </c>
      <c r="N51" s="109">
        <v>1.99</v>
      </c>
      <c r="O51" s="109">
        <v>1.99</v>
      </c>
      <c r="P51" s="125">
        <v>0</v>
      </c>
      <c r="Q51" s="163">
        <f t="shared" ref="Q51" si="3">SUM(M51:P51)</f>
        <v>8.5299999999999994</v>
      </c>
      <c r="R51" s="166"/>
      <c r="S51" s="163"/>
    </row>
    <row r="52" spans="1:19" ht="12" hidden="1" customHeight="1" x14ac:dyDescent="0.25">
      <c r="A52" s="288"/>
      <c r="B52" s="300" t="s">
        <v>209</v>
      </c>
      <c r="C52" s="297"/>
      <c r="D52" s="291">
        <v>0</v>
      </c>
      <c r="E52" s="291"/>
      <c r="F52" s="291">
        <v>0</v>
      </c>
      <c r="G52" s="291">
        <f>E52+F52</f>
        <v>0</v>
      </c>
      <c r="H52" s="266"/>
      <c r="I52" s="292"/>
      <c r="J52" s="126"/>
      <c r="K52" s="126"/>
      <c r="L52" s="126"/>
      <c r="P52" s="125"/>
      <c r="Q52" s="163"/>
      <c r="R52" s="166"/>
      <c r="S52" s="163"/>
    </row>
    <row r="53" spans="1:19" ht="44.45" hidden="1" customHeight="1" x14ac:dyDescent="0.25">
      <c r="A53" s="288"/>
      <c r="B53" s="300" t="s">
        <v>175</v>
      </c>
      <c r="C53" s="297"/>
      <c r="D53" s="301">
        <f>D51-D52</f>
        <v>750</v>
      </c>
      <c r="E53" s="301"/>
      <c r="F53" s="301">
        <f t="shared" ref="F53:G53" si="4">F51-F52</f>
        <v>750</v>
      </c>
      <c r="G53" s="301">
        <f t="shared" si="4"/>
        <v>750</v>
      </c>
      <c r="H53" s="302"/>
      <c r="I53" s="303">
        <f>G53-H53</f>
        <v>750</v>
      </c>
      <c r="J53" s="126"/>
      <c r="K53" s="126"/>
      <c r="L53" s="126"/>
      <c r="P53" s="125"/>
      <c r="Q53" s="163"/>
      <c r="R53" s="166"/>
      <c r="S53" s="163"/>
    </row>
    <row r="54" spans="1:19" ht="172.15" hidden="1" customHeight="1" x14ac:dyDescent="0.2">
      <c r="A54" s="264"/>
      <c r="B54" s="624" t="s">
        <v>235</v>
      </c>
      <c r="C54" s="625"/>
      <c r="D54" s="625"/>
      <c r="E54" s="625"/>
      <c r="F54" s="625"/>
      <c r="G54" s="625"/>
      <c r="H54" s="266"/>
      <c r="I54" s="292"/>
      <c r="J54" s="126"/>
      <c r="K54" s="128"/>
      <c r="L54" s="128"/>
    </row>
    <row r="55" spans="1:19" ht="15.75" hidden="1" x14ac:dyDescent="0.25">
      <c r="A55" s="272"/>
      <c r="B55" s="273" t="s">
        <v>123</v>
      </c>
      <c r="C55" s="275"/>
      <c r="D55" s="275"/>
      <c r="E55" s="275"/>
      <c r="F55" s="275"/>
      <c r="G55" s="276"/>
      <c r="H55" s="276">
        <f>H53</f>
        <v>0</v>
      </c>
      <c r="I55" s="277">
        <f>H55</f>
        <v>0</v>
      </c>
      <c r="J55" s="126"/>
      <c r="K55" s="128"/>
      <c r="L55" s="128"/>
    </row>
    <row r="56" spans="1:19" s="251" customFormat="1" ht="15.75" x14ac:dyDescent="0.25">
      <c r="A56" s="304"/>
      <c r="B56" s="305"/>
      <c r="C56" s="306"/>
      <c r="D56" s="306"/>
      <c r="E56" s="306"/>
      <c r="F56" s="306"/>
      <c r="G56" s="307"/>
      <c r="H56" s="307"/>
      <c r="I56" s="307"/>
      <c r="J56" s="249"/>
      <c r="K56" s="250"/>
      <c r="L56" s="250"/>
    </row>
    <row r="57" spans="1:19" ht="15.75" x14ac:dyDescent="0.25">
      <c r="A57" s="308" t="e">
        <f>#REF!</f>
        <v>#REF!</v>
      </c>
      <c r="B57" s="309" t="e">
        <f>#REF!</f>
        <v>#REF!</v>
      </c>
      <c r="C57" s="310"/>
      <c r="D57" s="310"/>
      <c r="E57" s="310"/>
      <c r="F57" s="310"/>
      <c r="G57" s="310"/>
      <c r="H57" s="310"/>
      <c r="I57" s="311"/>
      <c r="J57" s="116"/>
      <c r="K57" s="116"/>
      <c r="L57" s="116"/>
    </row>
    <row r="58" spans="1:19" ht="7.15" customHeight="1" x14ac:dyDescent="0.25">
      <c r="A58" s="312"/>
      <c r="B58" s="286"/>
      <c r="C58" s="282"/>
      <c r="D58" s="313"/>
      <c r="E58" s="282"/>
      <c r="F58" s="282"/>
      <c r="G58" s="282"/>
      <c r="H58" s="282"/>
      <c r="I58" s="282"/>
      <c r="J58" s="190"/>
      <c r="K58" s="190"/>
      <c r="L58" s="190"/>
      <c r="M58" s="190"/>
      <c r="N58" s="190"/>
      <c r="O58" s="190"/>
      <c r="P58" s="190"/>
      <c r="Q58" s="190"/>
      <c r="R58" s="190"/>
    </row>
    <row r="59" spans="1:19" ht="48" customHeight="1" x14ac:dyDescent="0.25">
      <c r="A59" s="257" t="e">
        <f>#REF!</f>
        <v>#REF!</v>
      </c>
      <c r="B59" s="269" t="e">
        <f>#REF!</f>
        <v>#REF!</v>
      </c>
      <c r="C59" s="270" t="e">
        <f>#REF!</f>
        <v>#REF!</v>
      </c>
      <c r="D59" s="260" t="s">
        <v>249</v>
      </c>
      <c r="E59" s="313"/>
      <c r="F59" s="282"/>
      <c r="G59" s="260" t="s">
        <v>143</v>
      </c>
      <c r="H59" s="262">
        <f>H65</f>
        <v>724.68000000000006</v>
      </c>
      <c r="I59" s="260">
        <f>I65</f>
        <v>724.68000000000006</v>
      </c>
      <c r="J59" s="126"/>
      <c r="K59" s="128"/>
      <c r="L59" s="128"/>
    </row>
    <row r="60" spans="1:19" s="251" customFormat="1" ht="15.75" x14ac:dyDescent="0.25">
      <c r="A60" s="257"/>
      <c r="B60" s="269"/>
      <c r="C60" s="270" t="e">
        <f>#REF!</f>
        <v>#REF!</v>
      </c>
      <c r="D60" s="270" t="e">
        <f>#REF!</f>
        <v>#REF!</v>
      </c>
      <c r="E60" s="261"/>
      <c r="F60" s="261"/>
      <c r="G60" s="265"/>
      <c r="H60" s="271"/>
      <c r="I60" s="263"/>
      <c r="J60" s="249"/>
      <c r="K60" s="250"/>
      <c r="L60" s="250"/>
    </row>
    <row r="61" spans="1:19" s="251" customFormat="1" ht="30.75" x14ac:dyDescent="0.25">
      <c r="A61" s="257"/>
      <c r="B61" s="284" t="s">
        <v>236</v>
      </c>
      <c r="C61" s="270"/>
      <c r="D61" s="315"/>
      <c r="E61" s="261"/>
      <c r="F61" s="261"/>
      <c r="G61" s="261"/>
      <c r="H61" s="278"/>
      <c r="I61" s="316"/>
      <c r="J61" s="249"/>
      <c r="K61" s="250"/>
      <c r="L61" s="250"/>
    </row>
    <row r="62" spans="1:19" s="251" customFormat="1" ht="15.75" x14ac:dyDescent="0.25">
      <c r="A62" s="257"/>
      <c r="B62" s="284" t="s">
        <v>201</v>
      </c>
      <c r="C62" s="270" t="e">
        <f>#REF!</f>
        <v>#REF!</v>
      </c>
      <c r="D62" s="315">
        <v>437.52</v>
      </c>
      <c r="E62" s="261"/>
      <c r="F62" s="261"/>
      <c r="G62" s="261">
        <f>D62</f>
        <v>437.52</v>
      </c>
      <c r="H62" s="278">
        <f>G62</f>
        <v>437.52</v>
      </c>
      <c r="I62" s="316">
        <f>H62</f>
        <v>437.52</v>
      </c>
      <c r="J62" s="249"/>
      <c r="K62" s="250"/>
      <c r="L62" s="250"/>
    </row>
    <row r="63" spans="1:19" s="251" customFormat="1" ht="15.75" x14ac:dyDescent="0.25">
      <c r="A63" s="257"/>
      <c r="B63" s="284" t="s">
        <v>202</v>
      </c>
      <c r="C63" s="270" t="e">
        <f>#REF!</f>
        <v>#REF!</v>
      </c>
      <c r="D63" s="315">
        <v>287.16000000000003</v>
      </c>
      <c r="E63" s="261"/>
      <c r="F63" s="261"/>
      <c r="G63" s="261">
        <f>D63</f>
        <v>287.16000000000003</v>
      </c>
      <c r="H63" s="278">
        <f>G63</f>
        <v>287.16000000000003</v>
      </c>
      <c r="I63" s="316">
        <f>H63</f>
        <v>287.16000000000003</v>
      </c>
      <c r="J63" s="249"/>
      <c r="K63" s="250"/>
      <c r="L63" s="250"/>
    </row>
    <row r="64" spans="1:19" s="251" customFormat="1" ht="49.9" customHeight="1" x14ac:dyDescent="0.25">
      <c r="A64" s="257"/>
      <c r="B64" s="317" t="s">
        <v>203</v>
      </c>
      <c r="C64" s="270"/>
      <c r="D64" s="315"/>
      <c r="E64" s="261"/>
      <c r="F64" s="261"/>
      <c r="G64" s="261"/>
      <c r="H64" s="278"/>
      <c r="I64" s="316"/>
      <c r="J64" s="249"/>
      <c r="K64" s="250"/>
      <c r="L64" s="250"/>
    </row>
    <row r="65" spans="1:18" s="251" customFormat="1" ht="15.75" x14ac:dyDescent="0.25">
      <c r="A65" s="272"/>
      <c r="B65" s="273" t="s">
        <v>123</v>
      </c>
      <c r="C65" s="275"/>
      <c r="D65" s="275"/>
      <c r="E65" s="275"/>
      <c r="F65" s="275"/>
      <c r="G65" s="276"/>
      <c r="H65" s="276">
        <f t="shared" ref="H65:R65" si="5">SUM(H62:H64)</f>
        <v>724.68000000000006</v>
      </c>
      <c r="I65" s="276">
        <f t="shared" si="5"/>
        <v>724.68000000000006</v>
      </c>
      <c r="J65" s="133">
        <f t="shared" si="5"/>
        <v>0</v>
      </c>
      <c r="K65" s="133">
        <f t="shared" si="5"/>
        <v>0</v>
      </c>
      <c r="L65" s="133">
        <f t="shared" si="5"/>
        <v>0</v>
      </c>
      <c r="M65" s="133">
        <f t="shared" si="5"/>
        <v>0</v>
      </c>
      <c r="N65" s="133">
        <f t="shared" si="5"/>
        <v>0</v>
      </c>
      <c r="O65" s="133">
        <f t="shared" si="5"/>
        <v>0</v>
      </c>
      <c r="P65" s="133">
        <f t="shared" si="5"/>
        <v>0</v>
      </c>
      <c r="Q65" s="133">
        <f t="shared" si="5"/>
        <v>0</v>
      </c>
      <c r="R65" s="133">
        <f t="shared" si="5"/>
        <v>0</v>
      </c>
    </row>
    <row r="66" spans="1:18" ht="15.75" x14ac:dyDescent="0.25">
      <c r="A66" s="257"/>
      <c r="B66" s="269"/>
      <c r="C66" s="270"/>
      <c r="D66" s="149"/>
      <c r="E66" s="281"/>
      <c r="F66" s="281"/>
      <c r="G66" s="282"/>
      <c r="H66" s="282"/>
      <c r="I66" s="283"/>
      <c r="J66" s="126"/>
      <c r="K66" s="128"/>
      <c r="L66" s="128"/>
    </row>
    <row r="67" spans="1:18" ht="47.25" hidden="1" x14ac:dyDescent="0.25">
      <c r="A67" s="257" t="e">
        <f>#REF!</f>
        <v>#REF!</v>
      </c>
      <c r="B67" s="269" t="e">
        <f>#REF!</f>
        <v>#REF!</v>
      </c>
      <c r="C67" s="270" t="e">
        <f>#REF!</f>
        <v>#REF!</v>
      </c>
      <c r="D67" s="313" t="s">
        <v>200</v>
      </c>
      <c r="E67" s="282"/>
      <c r="F67" s="282"/>
      <c r="G67" s="260" t="s">
        <v>143</v>
      </c>
      <c r="H67" s="262">
        <f>H79</f>
        <v>0</v>
      </c>
      <c r="I67" s="260">
        <f>I79</f>
        <v>0</v>
      </c>
      <c r="J67" s="126"/>
      <c r="K67" s="128"/>
      <c r="L67" s="128"/>
    </row>
    <row r="68" spans="1:18" s="251" customFormat="1" ht="30.75" hidden="1" x14ac:dyDescent="0.25">
      <c r="A68" s="257"/>
      <c r="B68" s="269" t="s">
        <v>237</v>
      </c>
      <c r="C68" s="270" t="s">
        <v>35</v>
      </c>
      <c r="D68" s="270" t="e">
        <f>#REF!</f>
        <v>#REF!</v>
      </c>
      <c r="E68" s="261"/>
      <c r="F68" s="261"/>
      <c r="G68" s="265"/>
      <c r="H68" s="271"/>
      <c r="I68" s="263"/>
      <c r="J68" s="249"/>
      <c r="K68" s="250"/>
      <c r="L68" s="250"/>
    </row>
    <row r="69" spans="1:18" s="251" customFormat="1" ht="15.75" hidden="1" x14ac:dyDescent="0.25">
      <c r="A69" s="257"/>
      <c r="B69" s="318" t="s">
        <v>210</v>
      </c>
      <c r="C69" s="270"/>
      <c r="D69" s="315"/>
      <c r="E69" s="261"/>
      <c r="F69" s="261"/>
      <c r="G69" s="261"/>
      <c r="H69" s="271"/>
      <c r="I69" s="316"/>
      <c r="J69" s="249"/>
      <c r="K69" s="250"/>
      <c r="L69" s="250"/>
    </row>
    <row r="70" spans="1:18" s="251" customFormat="1" ht="15.75" hidden="1" x14ac:dyDescent="0.25">
      <c r="A70" s="257"/>
      <c r="B70" s="318" t="s">
        <v>216</v>
      </c>
      <c r="C70" s="270" t="s">
        <v>35</v>
      </c>
      <c r="D70" s="315">
        <v>437.52</v>
      </c>
      <c r="E70" s="319"/>
      <c r="F70" s="319"/>
      <c r="G70" s="261">
        <f>D70</f>
        <v>437.52</v>
      </c>
      <c r="H70" s="265">
        <f>G70</f>
        <v>437.52</v>
      </c>
      <c r="I70" s="316">
        <f>H70</f>
        <v>437.52</v>
      </c>
      <c r="J70" s="249"/>
      <c r="K70" s="250"/>
      <c r="L70" s="250"/>
    </row>
    <row r="71" spans="1:18" s="251" customFormat="1" ht="195" hidden="1" x14ac:dyDescent="0.25">
      <c r="A71" s="257"/>
      <c r="B71" s="320" t="s">
        <v>214</v>
      </c>
      <c r="C71" s="270"/>
      <c r="D71" s="315"/>
      <c r="E71" s="319"/>
      <c r="F71" s="319"/>
      <c r="G71" s="261">
        <f t="shared" ref="G71:G75" si="6">D71</f>
        <v>0</v>
      </c>
      <c r="H71" s="265">
        <f t="shared" ref="H71:H75" si="7">G71</f>
        <v>0</v>
      </c>
      <c r="I71" s="316"/>
      <c r="J71" s="249"/>
      <c r="K71" s="250"/>
      <c r="L71" s="250"/>
    </row>
    <row r="72" spans="1:18" s="251" customFormat="1" ht="31.5" hidden="1" x14ac:dyDescent="0.25">
      <c r="A72" s="257"/>
      <c r="B72" s="318" t="s">
        <v>212</v>
      </c>
      <c r="C72" s="270" t="s">
        <v>35</v>
      </c>
      <c r="D72" s="315">
        <v>287.16000000000003</v>
      </c>
      <c r="E72" s="319"/>
      <c r="F72" s="319"/>
      <c r="G72" s="261">
        <f t="shared" si="6"/>
        <v>287.16000000000003</v>
      </c>
      <c r="H72" s="265">
        <f t="shared" si="7"/>
        <v>287.16000000000003</v>
      </c>
      <c r="I72" s="316">
        <f>H72</f>
        <v>287.16000000000003</v>
      </c>
      <c r="J72" s="249"/>
      <c r="K72" s="250"/>
      <c r="L72" s="250"/>
    </row>
    <row r="73" spans="1:18" s="251" customFormat="1" ht="313.89999999999998" hidden="1" customHeight="1" x14ac:dyDescent="0.25">
      <c r="A73" s="257"/>
      <c r="B73" s="320" t="s">
        <v>276</v>
      </c>
      <c r="C73" s="270"/>
      <c r="D73" s="315"/>
      <c r="E73" s="319"/>
      <c r="F73" s="319"/>
      <c r="G73" s="261">
        <f t="shared" si="6"/>
        <v>0</v>
      </c>
      <c r="H73" s="265">
        <f t="shared" si="7"/>
        <v>0</v>
      </c>
      <c r="I73" s="316"/>
      <c r="J73" s="249"/>
      <c r="K73" s="250"/>
      <c r="L73" s="250"/>
    </row>
    <row r="74" spans="1:18" s="251" customFormat="1" ht="60" hidden="1" customHeight="1" x14ac:dyDescent="0.25">
      <c r="A74" s="257"/>
      <c r="B74" s="321" t="s">
        <v>277</v>
      </c>
      <c r="C74" s="270"/>
      <c r="D74" s="315">
        <v>25.319999999999936</v>
      </c>
      <c r="E74" s="319"/>
      <c r="F74" s="319"/>
      <c r="G74" s="261">
        <f t="shared" si="6"/>
        <v>25.319999999999936</v>
      </c>
      <c r="H74" s="265">
        <f t="shared" si="7"/>
        <v>25.319999999999936</v>
      </c>
      <c r="I74" s="316"/>
      <c r="J74" s="249"/>
      <c r="K74" s="250"/>
      <c r="L74" s="250"/>
    </row>
    <row r="75" spans="1:18" s="251" customFormat="1" ht="111.6" hidden="1" customHeight="1" x14ac:dyDescent="0.25">
      <c r="A75" s="257"/>
      <c r="B75" s="322" t="s">
        <v>211</v>
      </c>
      <c r="C75" s="270" t="s">
        <v>16</v>
      </c>
      <c r="D75" s="315"/>
      <c r="E75" s="319"/>
      <c r="F75" s="319"/>
      <c r="G75" s="261">
        <f t="shared" si="6"/>
        <v>0</v>
      </c>
      <c r="H75" s="265">
        <f t="shared" si="7"/>
        <v>0</v>
      </c>
      <c r="I75" s="316"/>
      <c r="J75" s="249"/>
      <c r="K75" s="250"/>
      <c r="L75" s="250"/>
    </row>
    <row r="76" spans="1:18" s="251" customFormat="1" ht="15.75" hidden="1" x14ac:dyDescent="0.25">
      <c r="A76" s="257"/>
      <c r="B76" s="322" t="s">
        <v>213</v>
      </c>
      <c r="C76" s="270"/>
      <c r="D76" s="323">
        <f>SUM(D70:D75)</f>
        <v>750</v>
      </c>
      <c r="E76" s="319"/>
      <c r="F76" s="319"/>
      <c r="G76" s="278">
        <f>SUM(G70:G75)</f>
        <v>750</v>
      </c>
      <c r="H76" s="278">
        <f>SUM(H70:H75)</f>
        <v>750</v>
      </c>
      <c r="I76" s="316"/>
      <c r="J76" s="249"/>
      <c r="K76" s="250"/>
      <c r="L76" s="250"/>
    </row>
    <row r="77" spans="1:18" ht="105" hidden="1" x14ac:dyDescent="0.25">
      <c r="A77" s="257"/>
      <c r="B77" s="317" t="s">
        <v>215</v>
      </c>
      <c r="C77" s="270"/>
      <c r="D77" s="149"/>
      <c r="E77" s="281"/>
      <c r="F77" s="281"/>
      <c r="G77" s="282"/>
      <c r="H77" s="282"/>
      <c r="I77" s="283"/>
      <c r="J77" s="126"/>
      <c r="K77" s="128"/>
      <c r="L77" s="128"/>
    </row>
    <row r="78" spans="1:18" s="251" customFormat="1" ht="15.75" hidden="1" x14ac:dyDescent="0.25">
      <c r="A78" s="272"/>
      <c r="B78" s="273" t="s">
        <v>123</v>
      </c>
      <c r="C78" s="275"/>
      <c r="D78" s="275"/>
      <c r="E78" s="275"/>
      <c r="F78" s="275"/>
      <c r="G78" s="276"/>
      <c r="H78" s="276">
        <f>H76</f>
        <v>750</v>
      </c>
      <c r="I78" s="276">
        <f t="shared" ref="I78:R78" si="8">SUM(I68:I77)</f>
        <v>724.68000000000006</v>
      </c>
      <c r="J78" s="133">
        <f t="shared" si="8"/>
        <v>0</v>
      </c>
      <c r="K78" s="133">
        <f t="shared" si="8"/>
        <v>0</v>
      </c>
      <c r="L78" s="133">
        <f t="shared" si="8"/>
        <v>0</v>
      </c>
      <c r="M78" s="133">
        <f t="shared" si="8"/>
        <v>0</v>
      </c>
      <c r="N78" s="133">
        <f t="shared" si="8"/>
        <v>0</v>
      </c>
      <c r="O78" s="133">
        <f t="shared" si="8"/>
        <v>0</v>
      </c>
      <c r="P78" s="133">
        <f t="shared" si="8"/>
        <v>0</v>
      </c>
      <c r="Q78" s="133">
        <f t="shared" si="8"/>
        <v>0</v>
      </c>
      <c r="R78" s="133">
        <f t="shared" si="8"/>
        <v>0</v>
      </c>
    </row>
    <row r="79" spans="1:18" s="251" customFormat="1" ht="15.75" x14ac:dyDescent="0.25">
      <c r="A79" s="285"/>
      <c r="B79" s="286"/>
      <c r="C79" s="281"/>
      <c r="D79" s="281"/>
      <c r="E79" s="281"/>
      <c r="F79" s="281"/>
      <c r="G79" s="282"/>
      <c r="H79" s="282"/>
      <c r="I79" s="282"/>
      <c r="J79" s="249"/>
      <c r="K79" s="250"/>
      <c r="L79" s="250"/>
    </row>
    <row r="80" spans="1:18" ht="44.45" customHeight="1" x14ac:dyDescent="0.25">
      <c r="A80" s="257" t="e">
        <f>#REF!</f>
        <v>#REF!</v>
      </c>
      <c r="B80" s="269" t="e">
        <f>#REF!</f>
        <v>#REF!</v>
      </c>
      <c r="C80" s="270" t="e">
        <f>#REF!</f>
        <v>#REF!</v>
      </c>
      <c r="D80" s="260" t="s">
        <v>249</v>
      </c>
      <c r="E80" s="282"/>
      <c r="F80" s="282"/>
      <c r="G80" s="260" t="s">
        <v>143</v>
      </c>
      <c r="H80" s="262">
        <f>H88</f>
        <v>724.68000000000006</v>
      </c>
      <c r="I80" s="260">
        <f>I88</f>
        <v>724.68000000000006</v>
      </c>
      <c r="J80" s="126"/>
      <c r="K80" s="128"/>
      <c r="L80" s="128"/>
    </row>
    <row r="81" spans="1:12" s="251" customFormat="1" ht="15.75" x14ac:dyDescent="0.25">
      <c r="A81" s="257"/>
      <c r="B81" s="284"/>
      <c r="C81" s="270" t="s">
        <v>35</v>
      </c>
      <c r="D81" s="270" t="e">
        <f>#REF!</f>
        <v>#REF!</v>
      </c>
      <c r="E81" s="261"/>
      <c r="F81" s="261"/>
      <c r="G81" s="265"/>
      <c r="H81" s="271"/>
      <c r="I81" s="263"/>
      <c r="J81" s="249"/>
      <c r="K81" s="250"/>
      <c r="L81" s="250"/>
    </row>
    <row r="82" spans="1:12" s="251" customFormat="1" ht="30.75" x14ac:dyDescent="0.25">
      <c r="A82" s="257"/>
      <c r="B82" s="284" t="s">
        <v>238</v>
      </c>
      <c r="C82" s="270"/>
      <c r="D82" s="315"/>
      <c r="E82" s="261"/>
      <c r="F82" s="261"/>
      <c r="G82" s="261"/>
      <c r="H82" s="278"/>
      <c r="I82" s="316"/>
      <c r="J82" s="249"/>
      <c r="K82" s="250"/>
      <c r="L82" s="250"/>
    </row>
    <row r="83" spans="1:12" s="251" customFormat="1" ht="15.75" x14ac:dyDescent="0.25">
      <c r="A83" s="257"/>
      <c r="B83" s="284" t="s">
        <v>201</v>
      </c>
      <c r="C83" s="270" t="e">
        <f>#REF!</f>
        <v>#REF!</v>
      </c>
      <c r="D83" s="315">
        <v>437.52</v>
      </c>
      <c r="E83" s="261"/>
      <c r="F83" s="261"/>
      <c r="G83" s="261">
        <f>D83</f>
        <v>437.52</v>
      </c>
      <c r="H83" s="278">
        <f>G83</f>
        <v>437.52</v>
      </c>
      <c r="I83" s="316">
        <f>H83</f>
        <v>437.52</v>
      </c>
      <c r="J83" s="249"/>
      <c r="K83" s="250"/>
      <c r="L83" s="250"/>
    </row>
    <row r="84" spans="1:12" s="251" customFormat="1" ht="15.75" x14ac:dyDescent="0.25">
      <c r="A84" s="257"/>
      <c r="B84" s="284" t="s">
        <v>202</v>
      </c>
      <c r="C84" s="270" t="e">
        <f>#REF!</f>
        <v>#REF!</v>
      </c>
      <c r="D84" s="315">
        <v>287.16000000000003</v>
      </c>
      <c r="E84" s="261"/>
      <c r="F84" s="261"/>
      <c r="G84" s="261">
        <f>D84</f>
        <v>287.16000000000003</v>
      </c>
      <c r="H84" s="278">
        <f>G84</f>
        <v>287.16000000000003</v>
      </c>
      <c r="I84" s="316">
        <f>H84</f>
        <v>287.16000000000003</v>
      </c>
      <c r="J84" s="249"/>
      <c r="K84" s="250"/>
      <c r="L84" s="250"/>
    </row>
    <row r="85" spans="1:12" s="251" customFormat="1" ht="55.9" customHeight="1" x14ac:dyDescent="0.25">
      <c r="A85" s="324"/>
      <c r="B85" s="317" t="s">
        <v>203</v>
      </c>
      <c r="C85" s="325"/>
      <c r="D85" s="325"/>
      <c r="E85" s="319"/>
      <c r="F85" s="319"/>
      <c r="G85" s="319"/>
      <c r="H85" s="326"/>
      <c r="I85" s="327"/>
      <c r="J85" s="249"/>
      <c r="K85" s="250"/>
      <c r="L85" s="250"/>
    </row>
    <row r="86" spans="1:12" s="251" customFormat="1" ht="15.75" x14ac:dyDescent="0.25">
      <c r="A86" s="272"/>
      <c r="B86" s="273" t="s">
        <v>123</v>
      </c>
      <c r="C86" s="275"/>
      <c r="D86" s="275"/>
      <c r="E86" s="275"/>
      <c r="F86" s="275"/>
      <c r="G86" s="276"/>
      <c r="H86" s="276">
        <f>SUM(H83:H85)</f>
        <v>724.68000000000006</v>
      </c>
      <c r="I86" s="276">
        <f>SUM(I83:I85)</f>
        <v>724.68000000000006</v>
      </c>
      <c r="J86" s="249"/>
      <c r="K86" s="250"/>
      <c r="L86" s="250"/>
    </row>
    <row r="87" spans="1:12" s="251" customFormat="1" ht="15.75" x14ac:dyDescent="0.25">
      <c r="A87" s="285"/>
      <c r="B87" s="286"/>
      <c r="C87" s="281"/>
      <c r="D87" s="281"/>
      <c r="E87" s="281"/>
      <c r="F87" s="281"/>
      <c r="G87" s="282"/>
      <c r="H87" s="282"/>
      <c r="I87" s="282"/>
      <c r="J87" s="249"/>
      <c r="K87" s="250"/>
      <c r="L87" s="250"/>
    </row>
    <row r="88" spans="1:12" ht="44.45" customHeight="1" x14ac:dyDescent="0.25">
      <c r="A88" s="257" t="e">
        <f>#REF!</f>
        <v>#REF!</v>
      </c>
      <c r="B88" s="269" t="e">
        <f>#REF!</f>
        <v>#REF!</v>
      </c>
      <c r="C88" s="270" t="e">
        <f>#REF!</f>
        <v>#REF!</v>
      </c>
      <c r="D88" s="260" t="s">
        <v>249</v>
      </c>
      <c r="E88" s="282"/>
      <c r="F88" s="282"/>
      <c r="G88" s="260" t="s">
        <v>143</v>
      </c>
      <c r="H88" s="262">
        <f>H96</f>
        <v>724.68000000000006</v>
      </c>
      <c r="I88" s="260">
        <f>I96</f>
        <v>724.68000000000006</v>
      </c>
      <c r="J88" s="126"/>
      <c r="K88" s="128"/>
      <c r="L88" s="128"/>
    </row>
    <row r="89" spans="1:12" s="251" customFormat="1" ht="15.75" x14ac:dyDescent="0.25">
      <c r="A89" s="257"/>
      <c r="B89" s="284"/>
      <c r="C89" s="270" t="s">
        <v>35</v>
      </c>
      <c r="D89" s="270" t="e">
        <f>#REF!</f>
        <v>#REF!</v>
      </c>
      <c r="E89" s="261"/>
      <c r="F89" s="261"/>
      <c r="G89" s="265"/>
      <c r="H89" s="271"/>
      <c r="I89" s="263"/>
      <c r="J89" s="249"/>
      <c r="K89" s="250"/>
      <c r="L89" s="250"/>
    </row>
    <row r="90" spans="1:12" s="251" customFormat="1" ht="30.75" x14ac:dyDescent="0.25">
      <c r="A90" s="257"/>
      <c r="B90" s="284" t="s">
        <v>239</v>
      </c>
      <c r="C90" s="270"/>
      <c r="D90" s="315"/>
      <c r="E90" s="261"/>
      <c r="F90" s="261"/>
      <c r="G90" s="261"/>
      <c r="H90" s="278"/>
      <c r="I90" s="316"/>
      <c r="J90" s="249"/>
      <c r="K90" s="250"/>
      <c r="L90" s="250"/>
    </row>
    <row r="91" spans="1:12" s="251" customFormat="1" ht="16.149999999999999" customHeight="1" x14ac:dyDescent="0.25">
      <c r="A91" s="257"/>
      <c r="B91" s="284" t="s">
        <v>201</v>
      </c>
      <c r="C91" s="270" t="s">
        <v>35</v>
      </c>
      <c r="D91" s="315">
        <v>437.52</v>
      </c>
      <c r="E91" s="261"/>
      <c r="F91" s="261"/>
      <c r="G91" s="261">
        <f>D91</f>
        <v>437.52</v>
      </c>
      <c r="H91" s="278">
        <f>G91</f>
        <v>437.52</v>
      </c>
      <c r="I91" s="316">
        <f>H91</f>
        <v>437.52</v>
      </c>
      <c r="J91" s="249"/>
      <c r="K91" s="250"/>
      <c r="L91" s="250"/>
    </row>
    <row r="92" spans="1:12" s="251" customFormat="1" ht="15.75" x14ac:dyDescent="0.25">
      <c r="A92" s="257"/>
      <c r="B92" s="284" t="s">
        <v>202</v>
      </c>
      <c r="C92" s="270" t="s">
        <v>35</v>
      </c>
      <c r="D92" s="315">
        <v>287.16000000000003</v>
      </c>
      <c r="E92" s="261"/>
      <c r="F92" s="261"/>
      <c r="G92" s="261">
        <f>D92</f>
        <v>287.16000000000003</v>
      </c>
      <c r="H92" s="278">
        <f>G92</f>
        <v>287.16000000000003</v>
      </c>
      <c r="I92" s="316">
        <f>H92</f>
        <v>287.16000000000003</v>
      </c>
      <c r="J92" s="249"/>
      <c r="K92" s="250"/>
      <c r="L92" s="250"/>
    </row>
    <row r="93" spans="1:12" s="251" customFormat="1" ht="58.15" customHeight="1" x14ac:dyDescent="0.25">
      <c r="A93" s="324"/>
      <c r="B93" s="317" t="s">
        <v>203</v>
      </c>
      <c r="C93" s="325"/>
      <c r="D93" s="325"/>
      <c r="E93" s="319"/>
      <c r="F93" s="319"/>
      <c r="G93" s="319"/>
      <c r="H93" s="326"/>
      <c r="I93" s="327"/>
      <c r="J93" s="249"/>
      <c r="K93" s="250"/>
      <c r="L93" s="250"/>
    </row>
    <row r="94" spans="1:12" s="251" customFormat="1" ht="15.75" x14ac:dyDescent="0.25">
      <c r="A94" s="272"/>
      <c r="B94" s="273" t="s">
        <v>123</v>
      </c>
      <c r="C94" s="275"/>
      <c r="D94" s="275"/>
      <c r="E94" s="275"/>
      <c r="F94" s="275"/>
      <c r="G94" s="276"/>
      <c r="H94" s="276">
        <f>SUM(H91:H93)</f>
        <v>724.68000000000006</v>
      </c>
      <c r="I94" s="276">
        <f>SUM(I91:I93)</f>
        <v>724.68000000000006</v>
      </c>
      <c r="J94" s="249"/>
      <c r="K94" s="250"/>
      <c r="L94" s="250"/>
    </row>
    <row r="95" spans="1:12" ht="15.75" x14ac:dyDescent="0.25">
      <c r="A95" s="257"/>
      <c r="B95" s="269"/>
      <c r="C95" s="270"/>
      <c r="D95" s="149"/>
      <c r="E95" s="281"/>
      <c r="F95" s="281"/>
      <c r="G95" s="282"/>
      <c r="H95" s="282"/>
      <c r="I95" s="283"/>
      <c r="J95" s="126"/>
      <c r="K95" s="128"/>
      <c r="L95" s="128"/>
    </row>
    <row r="96" spans="1:12" ht="47.25" x14ac:dyDescent="0.25">
      <c r="A96" s="257" t="e">
        <f>#REF!</f>
        <v>#REF!</v>
      </c>
      <c r="B96" s="269" t="e">
        <f>#REF!</f>
        <v>#REF!</v>
      </c>
      <c r="C96" s="270" t="e">
        <f>#REF!</f>
        <v>#REF!</v>
      </c>
      <c r="D96" s="260" t="s">
        <v>249</v>
      </c>
      <c r="E96" s="282"/>
      <c r="F96" s="282"/>
      <c r="G96" s="260" t="s">
        <v>143</v>
      </c>
      <c r="H96" s="262">
        <f>H104</f>
        <v>724.68000000000006</v>
      </c>
      <c r="I96" s="260">
        <f>I104</f>
        <v>724.68000000000006</v>
      </c>
      <c r="J96" s="126"/>
      <c r="K96" s="128"/>
      <c r="L96" s="128"/>
    </row>
    <row r="97" spans="1:12" s="251" customFormat="1" ht="15.75" x14ac:dyDescent="0.25">
      <c r="A97" s="257"/>
      <c r="B97" s="284"/>
      <c r="C97" s="270" t="s">
        <v>35</v>
      </c>
      <c r="D97" s="270" t="e">
        <f>#REF!</f>
        <v>#REF!</v>
      </c>
      <c r="E97" s="261"/>
      <c r="F97" s="261"/>
      <c r="G97" s="265"/>
      <c r="H97" s="271"/>
      <c r="I97" s="263"/>
      <c r="J97" s="249"/>
      <c r="K97" s="250"/>
      <c r="L97" s="250"/>
    </row>
    <row r="98" spans="1:12" s="251" customFormat="1" ht="30.75" x14ac:dyDescent="0.25">
      <c r="A98" s="257"/>
      <c r="B98" s="284" t="s">
        <v>273</v>
      </c>
      <c r="C98" s="270"/>
      <c r="D98" s="315"/>
      <c r="E98" s="261"/>
      <c r="F98" s="261"/>
      <c r="G98" s="261"/>
      <c r="H98" s="278"/>
      <c r="I98" s="316"/>
      <c r="J98" s="249"/>
      <c r="K98" s="250"/>
      <c r="L98" s="250"/>
    </row>
    <row r="99" spans="1:12" s="251" customFormat="1" ht="15.75" x14ac:dyDescent="0.25">
      <c r="A99" s="257"/>
      <c r="B99" s="284" t="s">
        <v>201</v>
      </c>
      <c r="C99" s="270" t="s">
        <v>35</v>
      </c>
      <c r="D99" s="315">
        <v>437.52</v>
      </c>
      <c r="E99" s="261"/>
      <c r="F99" s="261"/>
      <c r="G99" s="261">
        <f>D99</f>
        <v>437.52</v>
      </c>
      <c r="H99" s="278">
        <f>G99</f>
        <v>437.52</v>
      </c>
      <c r="I99" s="316">
        <f>H99</f>
        <v>437.52</v>
      </c>
      <c r="J99" s="249"/>
      <c r="K99" s="250"/>
      <c r="L99" s="250"/>
    </row>
    <row r="100" spans="1:12" s="251" customFormat="1" ht="15.75" x14ac:dyDescent="0.25">
      <c r="A100" s="257"/>
      <c r="B100" s="284" t="s">
        <v>202</v>
      </c>
      <c r="C100" s="270" t="s">
        <v>35</v>
      </c>
      <c r="D100" s="315">
        <v>287.16000000000003</v>
      </c>
      <c r="E100" s="261"/>
      <c r="F100" s="261"/>
      <c r="G100" s="261">
        <f>D100</f>
        <v>287.16000000000003</v>
      </c>
      <c r="H100" s="278">
        <f>G100</f>
        <v>287.16000000000003</v>
      </c>
      <c r="I100" s="316">
        <f>H100</f>
        <v>287.16000000000003</v>
      </c>
      <c r="J100" s="249"/>
      <c r="K100" s="250"/>
      <c r="L100" s="250"/>
    </row>
    <row r="101" spans="1:12" s="251" customFormat="1" ht="60" x14ac:dyDescent="0.25">
      <c r="A101" s="324"/>
      <c r="B101" s="317" t="s">
        <v>203</v>
      </c>
      <c r="C101" s="325"/>
      <c r="D101" s="325"/>
      <c r="E101" s="319"/>
      <c r="F101" s="319"/>
      <c r="G101" s="319"/>
      <c r="H101" s="326"/>
      <c r="I101" s="327"/>
      <c r="J101" s="249"/>
      <c r="K101" s="250"/>
      <c r="L101" s="250"/>
    </row>
    <row r="102" spans="1:12" s="251" customFormat="1" ht="15.75" x14ac:dyDescent="0.25">
      <c r="A102" s="272"/>
      <c r="B102" s="273" t="s">
        <v>123</v>
      </c>
      <c r="C102" s="275"/>
      <c r="D102" s="275"/>
      <c r="E102" s="275"/>
      <c r="F102" s="275"/>
      <c r="G102" s="276"/>
      <c r="H102" s="276">
        <f>SUM(H99:H101)</f>
        <v>724.68000000000006</v>
      </c>
      <c r="I102" s="276">
        <f>SUM(I99:I101)</f>
        <v>724.68000000000006</v>
      </c>
      <c r="J102" s="249"/>
      <c r="K102" s="250"/>
      <c r="L102" s="250"/>
    </row>
    <row r="103" spans="1:12" ht="15.75" x14ac:dyDescent="0.25">
      <c r="A103" s="257"/>
      <c r="B103" s="269"/>
      <c r="C103" s="270"/>
      <c r="D103" s="149"/>
      <c r="E103" s="281"/>
      <c r="F103" s="281"/>
      <c r="G103" s="282"/>
      <c r="H103" s="282"/>
      <c r="I103" s="283"/>
      <c r="J103" s="126"/>
      <c r="K103" s="128"/>
      <c r="L103" s="128"/>
    </row>
    <row r="104" spans="1:12" ht="47.25" x14ac:dyDescent="0.25">
      <c r="A104" s="257" t="e">
        <f>#REF!</f>
        <v>#REF!</v>
      </c>
      <c r="B104" s="269" t="e">
        <f>#REF!</f>
        <v>#REF!</v>
      </c>
      <c r="C104" s="270" t="e">
        <f>#REF!</f>
        <v>#REF!</v>
      </c>
      <c r="D104" s="260" t="s">
        <v>249</v>
      </c>
      <c r="E104" s="282"/>
      <c r="F104" s="282"/>
      <c r="G104" s="260" t="s">
        <v>143</v>
      </c>
      <c r="H104" s="262">
        <f>H111</f>
        <v>724.68000000000006</v>
      </c>
      <c r="I104" s="260">
        <f>I111</f>
        <v>724.68000000000006</v>
      </c>
      <c r="J104" s="126"/>
      <c r="K104" s="128"/>
      <c r="L104" s="128"/>
    </row>
    <row r="105" spans="1:12" s="251" customFormat="1" ht="30.75" x14ac:dyDescent="0.25">
      <c r="A105" s="257"/>
      <c r="B105" s="284" t="s">
        <v>240</v>
      </c>
      <c r="C105" s="270" t="s">
        <v>35</v>
      </c>
      <c r="D105" s="270" t="e">
        <f>#REF!</f>
        <v>#REF!</v>
      </c>
      <c r="E105" s="261"/>
      <c r="F105" s="261"/>
      <c r="G105" s="265"/>
      <c r="H105" s="271"/>
      <c r="I105" s="263"/>
      <c r="J105" s="249"/>
      <c r="K105" s="250"/>
      <c r="L105" s="250"/>
    </row>
    <row r="106" spans="1:12" s="251" customFormat="1" ht="15.75" x14ac:dyDescent="0.25">
      <c r="A106" s="257"/>
      <c r="B106" s="284" t="s">
        <v>201</v>
      </c>
      <c r="C106" s="270" t="s">
        <v>35</v>
      </c>
      <c r="D106" s="315">
        <v>437.52</v>
      </c>
      <c r="E106" s="261"/>
      <c r="F106" s="261"/>
      <c r="G106" s="261">
        <f>D106</f>
        <v>437.52</v>
      </c>
      <c r="H106" s="278">
        <f>G106</f>
        <v>437.52</v>
      </c>
      <c r="I106" s="316">
        <f>H106</f>
        <v>437.52</v>
      </c>
      <c r="J106" s="249"/>
      <c r="K106" s="250"/>
      <c r="L106" s="250"/>
    </row>
    <row r="107" spans="1:12" s="251" customFormat="1" ht="15.75" x14ac:dyDescent="0.25">
      <c r="A107" s="257"/>
      <c r="B107" s="284" t="s">
        <v>202</v>
      </c>
      <c r="C107" s="270" t="s">
        <v>35</v>
      </c>
      <c r="D107" s="315">
        <v>287.16000000000003</v>
      </c>
      <c r="E107" s="261"/>
      <c r="F107" s="261"/>
      <c r="G107" s="261">
        <f>D107</f>
        <v>287.16000000000003</v>
      </c>
      <c r="H107" s="278">
        <f>G107</f>
        <v>287.16000000000003</v>
      </c>
      <c r="I107" s="316">
        <f>H107</f>
        <v>287.16000000000003</v>
      </c>
      <c r="J107" s="249"/>
      <c r="K107" s="250"/>
      <c r="L107" s="250"/>
    </row>
    <row r="108" spans="1:12" s="251" customFormat="1" ht="53.45" customHeight="1" x14ac:dyDescent="0.25">
      <c r="A108" s="324"/>
      <c r="B108" s="317" t="s">
        <v>222</v>
      </c>
      <c r="C108" s="325"/>
      <c r="D108" s="325"/>
      <c r="E108" s="319"/>
      <c r="F108" s="319"/>
      <c r="G108" s="319"/>
      <c r="H108" s="326"/>
      <c r="I108" s="327"/>
      <c r="J108" s="249"/>
      <c r="K108" s="250"/>
      <c r="L108" s="250"/>
    </row>
    <row r="109" spans="1:12" s="251" customFormat="1" ht="15.75" x14ac:dyDescent="0.25">
      <c r="A109" s="272"/>
      <c r="B109" s="273" t="s">
        <v>123</v>
      </c>
      <c r="C109" s="275"/>
      <c r="D109" s="275"/>
      <c r="E109" s="275"/>
      <c r="F109" s="275"/>
      <c r="G109" s="276"/>
      <c r="H109" s="276">
        <f>SUM(H106:H108)</f>
        <v>724.68000000000006</v>
      </c>
      <c r="I109" s="276">
        <f>SUM(I106:I108)</f>
        <v>724.68000000000006</v>
      </c>
      <c r="J109" s="249"/>
      <c r="K109" s="250"/>
      <c r="L109" s="250"/>
    </row>
    <row r="110" spans="1:12" ht="15.75" x14ac:dyDescent="0.25">
      <c r="A110" s="257"/>
      <c r="B110" s="269"/>
      <c r="C110" s="270"/>
      <c r="D110" s="149"/>
      <c r="E110" s="281"/>
      <c r="F110" s="281"/>
      <c r="G110" s="282"/>
      <c r="H110" s="282"/>
      <c r="I110" s="283"/>
      <c r="J110" s="126"/>
      <c r="K110" s="128"/>
      <c r="L110" s="128"/>
    </row>
    <row r="111" spans="1:12" ht="47.25" x14ac:dyDescent="0.25">
      <c r="A111" s="257" t="e">
        <f>#REF!</f>
        <v>#REF!</v>
      </c>
      <c r="B111" s="269" t="e">
        <f>#REF!</f>
        <v>#REF!</v>
      </c>
      <c r="C111" s="270" t="e">
        <f>#REF!</f>
        <v>#REF!</v>
      </c>
      <c r="D111" s="260" t="s">
        <v>249</v>
      </c>
      <c r="E111" s="282"/>
      <c r="F111" s="282"/>
      <c r="G111" s="260" t="s">
        <v>143</v>
      </c>
      <c r="H111" s="262">
        <f>H117</f>
        <v>724.68000000000006</v>
      </c>
      <c r="I111" s="260">
        <f>I117</f>
        <v>724.68000000000006</v>
      </c>
      <c r="J111" s="126"/>
      <c r="K111" s="128"/>
      <c r="L111" s="128"/>
    </row>
    <row r="112" spans="1:12" s="251" customFormat="1" ht="15.75" x14ac:dyDescent="0.25">
      <c r="A112" s="257"/>
      <c r="B112" s="284"/>
      <c r="C112" s="270" t="s">
        <v>35</v>
      </c>
      <c r="D112" s="270" t="e">
        <f>#REF!</f>
        <v>#REF!</v>
      </c>
      <c r="E112" s="261"/>
      <c r="F112" s="261"/>
      <c r="G112" s="265"/>
      <c r="H112" s="271"/>
      <c r="I112" s="263"/>
      <c r="J112" s="249"/>
      <c r="K112" s="250"/>
      <c r="L112" s="250"/>
    </row>
    <row r="113" spans="1:20" s="251" customFormat="1" ht="30.75" x14ac:dyDescent="0.25">
      <c r="A113" s="257"/>
      <c r="B113" s="284" t="s">
        <v>241</v>
      </c>
      <c r="C113" s="270"/>
      <c r="D113" s="315"/>
      <c r="E113" s="261"/>
      <c r="F113" s="261"/>
      <c r="G113" s="261"/>
      <c r="H113" s="278"/>
      <c r="I113" s="316"/>
      <c r="J113" s="249"/>
      <c r="K113" s="250"/>
      <c r="L113" s="250"/>
    </row>
    <row r="114" spans="1:20" s="251" customFormat="1" ht="15.75" x14ac:dyDescent="0.25">
      <c r="A114" s="257"/>
      <c r="B114" s="284" t="s">
        <v>201</v>
      </c>
      <c r="C114" s="270" t="s">
        <v>35</v>
      </c>
      <c r="D114" s="315">
        <v>437.52</v>
      </c>
      <c r="E114" s="261"/>
      <c r="F114" s="261"/>
      <c r="G114" s="261">
        <f>D114</f>
        <v>437.52</v>
      </c>
      <c r="H114" s="278">
        <f>G114</f>
        <v>437.52</v>
      </c>
      <c r="I114" s="316">
        <f>H114</f>
        <v>437.52</v>
      </c>
      <c r="J114" s="249"/>
      <c r="K114" s="250"/>
      <c r="L114" s="250"/>
    </row>
    <row r="115" spans="1:20" s="251" customFormat="1" ht="15.75" x14ac:dyDescent="0.25">
      <c r="A115" s="257"/>
      <c r="B115" s="284" t="s">
        <v>202</v>
      </c>
      <c r="C115" s="270" t="s">
        <v>35</v>
      </c>
      <c r="D115" s="315">
        <v>287.16000000000003</v>
      </c>
      <c r="E115" s="261"/>
      <c r="F115" s="261"/>
      <c r="G115" s="261">
        <f>D115</f>
        <v>287.16000000000003</v>
      </c>
      <c r="H115" s="278">
        <f>G115</f>
        <v>287.16000000000003</v>
      </c>
      <c r="I115" s="316">
        <f>H115</f>
        <v>287.16000000000003</v>
      </c>
      <c r="J115" s="249"/>
      <c r="K115" s="250"/>
      <c r="L115" s="250"/>
    </row>
    <row r="116" spans="1:20" s="251" customFormat="1" ht="60" x14ac:dyDescent="0.25">
      <c r="A116" s="324"/>
      <c r="B116" s="317" t="s">
        <v>222</v>
      </c>
      <c r="C116" s="325"/>
      <c r="D116" s="325"/>
      <c r="E116" s="319"/>
      <c r="F116" s="319"/>
      <c r="G116" s="319"/>
      <c r="H116" s="326"/>
      <c r="I116" s="327"/>
      <c r="J116" s="249"/>
      <c r="K116" s="250"/>
      <c r="L116" s="250"/>
    </row>
    <row r="117" spans="1:20" s="251" customFormat="1" ht="15.75" x14ac:dyDescent="0.25">
      <c r="A117" s="272"/>
      <c r="B117" s="273" t="s">
        <v>123</v>
      </c>
      <c r="C117" s="275"/>
      <c r="D117" s="275"/>
      <c r="E117" s="275"/>
      <c r="F117" s="275"/>
      <c r="G117" s="276"/>
      <c r="H117" s="276">
        <f>SUM(H114:H116)</f>
        <v>724.68000000000006</v>
      </c>
      <c r="I117" s="276">
        <f>SUM(I114:I116)</f>
        <v>724.68000000000006</v>
      </c>
      <c r="J117" s="249"/>
      <c r="K117" s="250"/>
      <c r="L117" s="250"/>
    </row>
    <row r="118" spans="1:20" ht="15.75" x14ac:dyDescent="0.25">
      <c r="A118" s="257"/>
      <c r="B118" s="269"/>
      <c r="C118" s="270"/>
      <c r="D118" s="149"/>
      <c r="E118" s="281"/>
      <c r="F118" s="281"/>
      <c r="G118" s="282"/>
      <c r="H118" s="282"/>
      <c r="I118" s="283"/>
      <c r="J118" s="126"/>
      <c r="K118" s="128"/>
      <c r="L118" s="128"/>
    </row>
    <row r="119" spans="1:20" ht="47.25" x14ac:dyDescent="0.25">
      <c r="A119" s="257" t="e">
        <f>#REF!</f>
        <v>#REF!</v>
      </c>
      <c r="B119" s="293" t="e">
        <f>#REF!</f>
        <v>#REF!</v>
      </c>
      <c r="C119" s="270" t="e">
        <f>#REF!</f>
        <v>#REF!</v>
      </c>
      <c r="D119" s="260" t="s">
        <v>249</v>
      </c>
      <c r="E119" s="622" t="s">
        <v>217</v>
      </c>
      <c r="F119" s="623"/>
      <c r="G119" s="260" t="s">
        <v>143</v>
      </c>
      <c r="H119" s="262">
        <f>H126</f>
        <v>262.512</v>
      </c>
      <c r="I119" s="260">
        <f>I126</f>
        <v>262.512</v>
      </c>
      <c r="J119" s="126"/>
      <c r="K119" s="128"/>
      <c r="L119" s="128"/>
    </row>
    <row r="120" spans="1:20" ht="76.900000000000006" customHeight="1" x14ac:dyDescent="0.25">
      <c r="A120" s="257"/>
      <c r="B120" s="284"/>
      <c r="C120" s="270"/>
      <c r="D120" s="313"/>
      <c r="E120" s="313" t="s">
        <v>218</v>
      </c>
      <c r="F120" s="313" t="s">
        <v>250</v>
      </c>
      <c r="G120" s="260"/>
      <c r="H120" s="260"/>
      <c r="I120" s="260"/>
      <c r="J120" s="126"/>
      <c r="K120" s="128"/>
      <c r="L120" s="128"/>
    </row>
    <row r="121" spans="1:20" s="251" customFormat="1" ht="19.149999999999999" customHeight="1" x14ac:dyDescent="0.25">
      <c r="A121" s="257"/>
      <c r="B121" s="328" t="s">
        <v>219</v>
      </c>
      <c r="C121" s="270" t="s">
        <v>35</v>
      </c>
      <c r="D121" s="270" t="e">
        <f>#REF!</f>
        <v>#REF!</v>
      </c>
      <c r="E121" s="261"/>
      <c r="F121" s="261"/>
      <c r="G121" s="265"/>
      <c r="H121" s="271"/>
      <c r="I121" s="263"/>
      <c r="J121" s="249"/>
      <c r="K121" s="250"/>
      <c r="L121" s="250"/>
    </row>
    <row r="122" spans="1:20" s="251" customFormat="1" ht="35.450000000000003" customHeight="1" x14ac:dyDescent="0.25">
      <c r="A122" s="257"/>
      <c r="B122" s="284" t="s">
        <v>242</v>
      </c>
      <c r="C122" s="270"/>
      <c r="D122" s="315"/>
      <c r="E122" s="261"/>
      <c r="F122" s="261"/>
      <c r="G122" s="261"/>
      <c r="H122" s="278"/>
      <c r="I122" s="316"/>
      <c r="J122" s="249"/>
      <c r="K122" s="250"/>
      <c r="L122" s="250"/>
    </row>
    <row r="123" spans="1:20" s="251" customFormat="1" ht="25.15" customHeight="1" x14ac:dyDescent="0.25">
      <c r="A123" s="257"/>
      <c r="B123" s="284" t="s">
        <v>220</v>
      </c>
      <c r="C123" s="270"/>
      <c r="D123" s="315">
        <v>437.52</v>
      </c>
      <c r="E123" s="329">
        <v>0.6</v>
      </c>
      <c r="F123" s="330">
        <v>0</v>
      </c>
      <c r="G123" s="261"/>
      <c r="H123" s="278"/>
      <c r="I123" s="316"/>
      <c r="J123" s="249"/>
      <c r="K123" s="250"/>
      <c r="L123" s="250"/>
    </row>
    <row r="124" spans="1:20" s="251" customFormat="1" ht="61.15" customHeight="1" x14ac:dyDescent="0.25">
      <c r="A124" s="257"/>
      <c r="B124" s="284" t="s">
        <v>274</v>
      </c>
      <c r="C124" s="270" t="s">
        <v>35</v>
      </c>
      <c r="D124" s="331"/>
      <c r="E124" s="332">
        <f>D123*E123</f>
        <v>262.512</v>
      </c>
      <c r="F124" s="315">
        <v>0</v>
      </c>
      <c r="G124" s="261">
        <f>SUM(E124:F124)</f>
        <v>262.512</v>
      </c>
      <c r="H124" s="278">
        <f>G124</f>
        <v>262.512</v>
      </c>
      <c r="I124" s="316">
        <f>H124</f>
        <v>262.512</v>
      </c>
      <c r="J124" s="249"/>
      <c r="K124" s="250"/>
      <c r="L124" s="250"/>
      <c r="T124" s="375" t="s">
        <v>269</v>
      </c>
    </row>
    <row r="125" spans="1:20" s="251" customFormat="1" ht="189.6" customHeight="1" x14ac:dyDescent="0.25">
      <c r="A125" s="324"/>
      <c r="B125" s="333" t="s">
        <v>275</v>
      </c>
      <c r="C125" s="325"/>
      <c r="D125" s="325"/>
      <c r="E125" s="319"/>
      <c r="F125" s="319"/>
      <c r="G125" s="319"/>
      <c r="H125" s="326"/>
      <c r="I125" s="327"/>
      <c r="J125" s="249"/>
      <c r="K125" s="250"/>
      <c r="L125" s="250"/>
    </row>
    <row r="126" spans="1:20" s="251" customFormat="1" ht="15.75" x14ac:dyDescent="0.25">
      <c r="A126" s="272"/>
      <c r="B126" s="273" t="s">
        <v>123</v>
      </c>
      <c r="C126" s="275"/>
      <c r="D126" s="275"/>
      <c r="E126" s="275"/>
      <c r="F126" s="275"/>
      <c r="G126" s="276"/>
      <c r="H126" s="276">
        <f>SUM(H124:H125)</f>
        <v>262.512</v>
      </c>
      <c r="I126" s="276">
        <f>SUM(I124:I125)</f>
        <v>262.512</v>
      </c>
      <c r="J126" s="249"/>
      <c r="K126" s="250"/>
      <c r="L126" s="250"/>
    </row>
    <row r="127" spans="1:20" ht="15.75" x14ac:dyDescent="0.25">
      <c r="A127" s="257"/>
      <c r="B127" s="269"/>
      <c r="C127" s="270"/>
      <c r="D127" s="252"/>
      <c r="E127" s="281"/>
      <c r="F127" s="281"/>
      <c r="G127" s="282"/>
      <c r="H127" s="282"/>
      <c r="I127" s="283"/>
      <c r="J127" s="126"/>
      <c r="K127" s="128"/>
      <c r="L127" s="128"/>
    </row>
    <row r="128" spans="1:20" ht="47.25" hidden="1" x14ac:dyDescent="0.25">
      <c r="A128" s="257" t="e">
        <f>#REF!</f>
        <v>#REF!</v>
      </c>
      <c r="B128" s="293" t="e">
        <f>#REF!</f>
        <v>#REF!</v>
      </c>
      <c r="C128" s="270"/>
      <c r="D128" s="313" t="s">
        <v>200</v>
      </c>
      <c r="E128" s="282"/>
      <c r="F128" s="282"/>
      <c r="G128" s="260" t="s">
        <v>143</v>
      </c>
      <c r="H128" s="334">
        <f>H143</f>
        <v>0</v>
      </c>
      <c r="I128" s="260">
        <f>I143</f>
        <v>0</v>
      </c>
      <c r="J128" s="126"/>
      <c r="K128" s="128"/>
      <c r="L128" s="128"/>
    </row>
    <row r="129" spans="1:12" ht="30.75" hidden="1" x14ac:dyDescent="0.25">
      <c r="A129" s="257"/>
      <c r="B129" s="284" t="s">
        <v>243</v>
      </c>
      <c r="C129" s="270"/>
      <c r="D129" s="315" t="e">
        <f>#REF!</f>
        <v>#REF!</v>
      </c>
      <c r="E129" s="281"/>
      <c r="F129" s="281"/>
      <c r="G129" s="282"/>
      <c r="H129" s="282"/>
      <c r="I129" s="283"/>
      <c r="J129" s="126"/>
      <c r="K129" s="128"/>
      <c r="L129" s="128"/>
    </row>
    <row r="130" spans="1:12" ht="15.75" hidden="1" x14ac:dyDescent="0.25">
      <c r="A130" s="257"/>
      <c r="B130" s="284"/>
      <c r="C130" s="270"/>
      <c r="D130" s="335"/>
      <c r="E130" s="281"/>
      <c r="F130" s="281"/>
      <c r="G130" s="282"/>
      <c r="H130" s="282"/>
      <c r="I130" s="283"/>
      <c r="J130" s="126"/>
      <c r="K130" s="128"/>
      <c r="L130" s="128"/>
    </row>
    <row r="131" spans="1:12" ht="45" hidden="1" x14ac:dyDescent="0.25">
      <c r="A131" s="257"/>
      <c r="B131" s="284"/>
      <c r="C131" s="270"/>
      <c r="D131" s="335" t="s">
        <v>229</v>
      </c>
      <c r="E131" s="336" t="s">
        <v>228</v>
      </c>
      <c r="F131" s="336" t="s">
        <v>227</v>
      </c>
      <c r="G131" s="282"/>
      <c r="H131" s="282"/>
      <c r="I131" s="283"/>
      <c r="J131" s="126"/>
      <c r="K131" s="128"/>
      <c r="L131" s="128"/>
    </row>
    <row r="132" spans="1:12" s="251" customFormat="1" ht="15.75" hidden="1" x14ac:dyDescent="0.25">
      <c r="A132" s="257"/>
      <c r="B132" s="318" t="s">
        <v>223</v>
      </c>
      <c r="C132" s="270"/>
      <c r="D132" s="315">
        <v>589.24</v>
      </c>
      <c r="E132" s="261"/>
      <c r="F132" s="337"/>
      <c r="G132" s="261"/>
      <c r="H132" s="278">
        <f>G132</f>
        <v>0</v>
      </c>
      <c r="I132" s="316">
        <f>H132</f>
        <v>0</v>
      </c>
      <c r="J132" s="249"/>
      <c r="K132" s="250"/>
      <c r="L132" s="250"/>
    </row>
    <row r="133" spans="1:12" s="251" customFormat="1" ht="15.75" hidden="1" x14ac:dyDescent="0.25">
      <c r="A133" s="257"/>
      <c r="B133" s="318" t="s">
        <v>224</v>
      </c>
      <c r="C133" s="270"/>
      <c r="D133" s="315">
        <f>(E133*F133)+(E134*F134)+(E135*F135)</f>
        <v>109.72905</v>
      </c>
      <c r="E133" s="338">
        <f>(15.47+5.64+2.98)</f>
        <v>24.09</v>
      </c>
      <c r="F133" s="339">
        <v>1.5</v>
      </c>
      <c r="G133" s="261"/>
      <c r="H133" s="278"/>
      <c r="I133" s="316"/>
      <c r="J133" s="249"/>
      <c r="K133" s="250"/>
      <c r="L133" s="250"/>
    </row>
    <row r="134" spans="1:12" s="251" customFormat="1" ht="15.75" hidden="1" x14ac:dyDescent="0.25">
      <c r="A134" s="257"/>
      <c r="B134" s="318" t="s">
        <v>226</v>
      </c>
      <c r="C134" s="270"/>
      <c r="D134" s="323">
        <f>SUM(D132:D133)</f>
        <v>698.96905000000004</v>
      </c>
      <c r="E134" s="338">
        <f>5.33+17.3+5.82</f>
        <v>28.450000000000003</v>
      </c>
      <c r="F134" s="339">
        <v>2.44</v>
      </c>
      <c r="G134" s="261"/>
      <c r="H134" s="278"/>
      <c r="I134" s="316"/>
      <c r="J134" s="249"/>
      <c r="K134" s="250"/>
      <c r="L134" s="250"/>
    </row>
    <row r="135" spans="1:12" s="251" customFormat="1" ht="15.75" hidden="1" x14ac:dyDescent="0.25">
      <c r="A135" s="257"/>
      <c r="B135" s="318"/>
      <c r="C135" s="270"/>
      <c r="D135" s="315"/>
      <c r="E135" s="338">
        <f>2.89</f>
        <v>2.89</v>
      </c>
      <c r="F135" s="337">
        <f>2.89/2</f>
        <v>1.4450000000000001</v>
      </c>
      <c r="G135" s="261"/>
      <c r="H135" s="278"/>
      <c r="I135" s="316"/>
      <c r="J135" s="249"/>
      <c r="K135" s="250"/>
      <c r="L135" s="250"/>
    </row>
    <row r="136" spans="1:12" s="251" customFormat="1" ht="15.75" hidden="1" x14ac:dyDescent="0.25">
      <c r="A136" s="257"/>
      <c r="B136" s="318" t="s">
        <v>204</v>
      </c>
      <c r="C136" s="270"/>
      <c r="D136" s="323">
        <v>437.52</v>
      </c>
      <c r="E136" s="319"/>
      <c r="F136" s="319"/>
      <c r="G136" s="261"/>
      <c r="H136" s="278"/>
      <c r="I136" s="316"/>
      <c r="J136" s="249"/>
      <c r="K136" s="250"/>
      <c r="L136" s="250"/>
    </row>
    <row r="137" spans="1:12" s="251" customFormat="1" ht="15.75" hidden="1" x14ac:dyDescent="0.25">
      <c r="A137" s="257"/>
      <c r="B137" s="318"/>
      <c r="C137" s="270"/>
      <c r="D137" s="340"/>
      <c r="E137" s="319"/>
      <c r="F137" s="341"/>
      <c r="G137" s="261"/>
      <c r="H137" s="278"/>
      <c r="I137" s="316"/>
      <c r="J137" s="249"/>
      <c r="K137" s="250"/>
      <c r="L137" s="250"/>
    </row>
    <row r="138" spans="1:12" s="251" customFormat="1" ht="31.5" hidden="1" x14ac:dyDescent="0.25">
      <c r="A138" s="257"/>
      <c r="B138" s="318" t="s">
        <v>225</v>
      </c>
      <c r="C138" s="270"/>
      <c r="D138" s="342">
        <f>D132+D133-D136</f>
        <v>261.44905000000006</v>
      </c>
      <c r="E138" s="319"/>
      <c r="F138" s="326"/>
      <c r="G138" s="261"/>
      <c r="H138" s="278"/>
      <c r="I138" s="316"/>
      <c r="J138" s="249"/>
      <c r="K138" s="250"/>
      <c r="L138" s="250"/>
    </row>
    <row r="139" spans="1:12" s="251" customFormat="1" ht="15.75" hidden="1" x14ac:dyDescent="0.25">
      <c r="A139" s="257"/>
      <c r="B139" s="318"/>
      <c r="C139" s="270"/>
      <c r="D139" s="326"/>
      <c r="E139" s="326"/>
      <c r="F139" s="319"/>
      <c r="G139" s="261"/>
      <c r="H139" s="278"/>
      <c r="I139" s="316"/>
      <c r="J139" s="249"/>
      <c r="K139" s="250"/>
      <c r="L139" s="250"/>
    </row>
    <row r="140" spans="1:12" s="251" customFormat="1" ht="15.75" hidden="1" x14ac:dyDescent="0.25">
      <c r="A140" s="257"/>
      <c r="B140" s="284"/>
      <c r="C140" s="270"/>
      <c r="D140" s="319"/>
      <c r="E140" s="319"/>
      <c r="F140" s="319"/>
      <c r="G140" s="261"/>
      <c r="H140" s="278"/>
      <c r="I140" s="316"/>
      <c r="J140" s="249"/>
      <c r="K140" s="250"/>
      <c r="L140" s="250"/>
    </row>
    <row r="141" spans="1:12" s="251" customFormat="1" ht="15.75" hidden="1" x14ac:dyDescent="0.25">
      <c r="A141" s="257"/>
      <c r="B141" s="284"/>
      <c r="C141" s="270"/>
      <c r="D141" s="343"/>
      <c r="E141" s="319"/>
      <c r="F141" s="319"/>
      <c r="G141" s="261"/>
      <c r="H141" s="278">
        <f t="shared" ref="H141:I143" si="9">G141</f>
        <v>0</v>
      </c>
      <c r="I141" s="316">
        <f t="shared" si="9"/>
        <v>0</v>
      </c>
      <c r="J141" s="249"/>
      <c r="K141" s="250"/>
      <c r="L141" s="250"/>
    </row>
    <row r="142" spans="1:12" s="251" customFormat="1" ht="75.75" hidden="1" x14ac:dyDescent="0.25">
      <c r="A142" s="324"/>
      <c r="B142" s="317" t="s">
        <v>244</v>
      </c>
      <c r="C142" s="314" t="s">
        <v>205</v>
      </c>
      <c r="D142" s="314">
        <f>D132++D140+D141</f>
        <v>589.24</v>
      </c>
      <c r="E142" s="319"/>
      <c r="F142" s="319"/>
      <c r="G142" s="319"/>
      <c r="H142" s="326">
        <f t="shared" si="9"/>
        <v>0</v>
      </c>
      <c r="I142" s="327">
        <f t="shared" si="9"/>
        <v>0</v>
      </c>
      <c r="J142" s="249"/>
      <c r="K142" s="250"/>
      <c r="L142" s="250"/>
    </row>
    <row r="143" spans="1:12" s="251" customFormat="1" ht="15.75" hidden="1" x14ac:dyDescent="0.25">
      <c r="A143" s="272"/>
      <c r="B143" s="273" t="s">
        <v>123</v>
      </c>
      <c r="C143" s="275"/>
      <c r="D143" s="276">
        <f>D142</f>
        <v>589.24</v>
      </c>
      <c r="E143" s="275"/>
      <c r="F143" s="275"/>
      <c r="G143" s="276">
        <f>SUM(G132:G142)</f>
        <v>0</v>
      </c>
      <c r="H143" s="276">
        <f>SUM(H129:H142)</f>
        <v>0</v>
      </c>
      <c r="I143" s="276">
        <f t="shared" si="9"/>
        <v>0</v>
      </c>
      <c r="J143" s="249"/>
      <c r="K143" s="250"/>
      <c r="L143" s="250"/>
    </row>
    <row r="144" spans="1:12" ht="15.75" x14ac:dyDescent="0.25">
      <c r="A144" s="257"/>
      <c r="B144" s="269"/>
      <c r="C144" s="270"/>
      <c r="D144" s="252"/>
      <c r="E144" s="281"/>
      <c r="F144" s="281"/>
      <c r="G144" s="282"/>
      <c r="H144" s="282"/>
      <c r="I144" s="283"/>
      <c r="J144" s="126"/>
      <c r="K144" s="128"/>
      <c r="L144" s="128"/>
    </row>
    <row r="145" spans="1:12" ht="47.25" hidden="1" x14ac:dyDescent="0.25">
      <c r="A145" s="257" t="e">
        <f>#REF!</f>
        <v>#REF!</v>
      </c>
      <c r="B145" s="269" t="e">
        <f>#REF!</f>
        <v>#REF!</v>
      </c>
      <c r="C145" s="270" t="e">
        <f>#REF!</f>
        <v>#REF!</v>
      </c>
      <c r="D145" s="260" t="s">
        <v>249</v>
      </c>
      <c r="E145" s="282"/>
      <c r="F145" s="282"/>
      <c r="G145" s="260" t="s">
        <v>143</v>
      </c>
      <c r="H145" s="262" t="e">
        <f>H172</f>
        <v>#REF!</v>
      </c>
      <c r="I145" s="260" t="e">
        <f>I172</f>
        <v>#REF!</v>
      </c>
      <c r="J145" s="126"/>
      <c r="K145" s="128"/>
      <c r="L145" s="128"/>
    </row>
    <row r="146" spans="1:12" s="251" customFormat="1" ht="15.75" hidden="1" x14ac:dyDescent="0.25">
      <c r="A146" s="257"/>
      <c r="B146" s="284"/>
      <c r="C146" s="270" t="s">
        <v>35</v>
      </c>
      <c r="D146" s="344" t="e">
        <f>#REF!</f>
        <v>#REF!</v>
      </c>
      <c r="E146" s="261"/>
      <c r="F146" s="261"/>
      <c r="G146" s="265"/>
      <c r="H146" s="271"/>
      <c r="I146" s="263"/>
      <c r="J146" s="249"/>
      <c r="K146" s="250"/>
      <c r="L146" s="250"/>
    </row>
    <row r="147" spans="1:12" s="251" customFormat="1" ht="15.75" hidden="1" x14ac:dyDescent="0.25">
      <c r="A147" s="257"/>
      <c r="B147" s="284" t="s">
        <v>252</v>
      </c>
      <c r="C147" s="270"/>
      <c r="D147" s="344"/>
      <c r="E147" s="261"/>
      <c r="F147" s="261"/>
      <c r="G147" s="261"/>
      <c r="H147" s="278"/>
      <c r="I147" s="316"/>
      <c r="J147" s="249"/>
      <c r="K147" s="250"/>
      <c r="L147" s="250"/>
    </row>
    <row r="148" spans="1:12" s="251" customFormat="1" ht="15.75" hidden="1" x14ac:dyDescent="0.25">
      <c r="A148" s="257"/>
      <c r="B148" s="318" t="s">
        <v>201</v>
      </c>
      <c r="C148" s="270"/>
      <c r="D148" s="344"/>
      <c r="E148" s="261"/>
      <c r="F148" s="261"/>
      <c r="G148" s="261"/>
      <c r="H148" s="278"/>
      <c r="I148" s="316"/>
      <c r="J148" s="249"/>
      <c r="K148" s="250"/>
      <c r="L148" s="250"/>
    </row>
    <row r="149" spans="1:12" s="251" customFormat="1" ht="15.75" hidden="1" x14ac:dyDescent="0.2">
      <c r="A149" s="257"/>
      <c r="B149" s="376" t="s">
        <v>251</v>
      </c>
      <c r="C149" s="270" t="s">
        <v>16</v>
      </c>
      <c r="D149" s="344">
        <v>37.85</v>
      </c>
      <c r="E149" s="261"/>
      <c r="F149" s="261"/>
      <c r="G149" s="261"/>
      <c r="H149" s="278"/>
      <c r="I149" s="316"/>
      <c r="J149" s="249"/>
      <c r="K149" s="250"/>
      <c r="L149" s="250"/>
    </row>
    <row r="150" spans="1:12" s="251" customFormat="1" ht="15.75" hidden="1" x14ac:dyDescent="0.2">
      <c r="A150" s="257"/>
      <c r="B150" s="376" t="s">
        <v>253</v>
      </c>
      <c r="C150" s="270" t="s">
        <v>16</v>
      </c>
      <c r="D150" s="344">
        <v>10.31</v>
      </c>
      <c r="E150" s="261"/>
      <c r="F150" s="261"/>
      <c r="G150" s="261"/>
      <c r="H150" s="278"/>
      <c r="I150" s="316"/>
      <c r="J150" s="249"/>
      <c r="K150" s="250"/>
      <c r="L150" s="250"/>
    </row>
    <row r="151" spans="1:12" s="251" customFormat="1" ht="15.75" hidden="1" x14ac:dyDescent="0.25">
      <c r="A151" s="257"/>
      <c r="B151" s="284" t="s">
        <v>254</v>
      </c>
      <c r="C151" s="270" t="s">
        <v>16</v>
      </c>
      <c r="D151" s="344">
        <v>11.99</v>
      </c>
      <c r="E151" s="261"/>
      <c r="F151" s="261"/>
      <c r="G151" s="261"/>
      <c r="H151" s="278"/>
      <c r="I151" s="316"/>
      <c r="J151" s="249"/>
      <c r="K151" s="250"/>
      <c r="L151" s="250"/>
    </row>
    <row r="152" spans="1:12" s="251" customFormat="1" ht="15.75" hidden="1" x14ac:dyDescent="0.25">
      <c r="A152" s="257"/>
      <c r="B152" s="284" t="s">
        <v>255</v>
      </c>
      <c r="C152" s="270" t="s">
        <v>16</v>
      </c>
      <c r="D152" s="344">
        <v>22.39</v>
      </c>
      <c r="E152" s="261"/>
      <c r="F152" s="261"/>
      <c r="G152" s="261"/>
      <c r="H152" s="278"/>
      <c r="I152" s="316"/>
      <c r="J152" s="249"/>
      <c r="K152" s="250"/>
      <c r="L152" s="250"/>
    </row>
    <row r="153" spans="1:12" s="251" customFormat="1" ht="15.75" hidden="1" x14ac:dyDescent="0.25">
      <c r="A153" s="257"/>
      <c r="B153" s="284" t="s">
        <v>256</v>
      </c>
      <c r="C153" s="270" t="s">
        <v>16</v>
      </c>
      <c r="D153" s="344">
        <v>6.72</v>
      </c>
      <c r="E153" s="261"/>
      <c r="F153" s="261"/>
      <c r="G153" s="261"/>
      <c r="H153" s="278"/>
      <c r="I153" s="316"/>
      <c r="J153" s="249"/>
      <c r="K153" s="250"/>
      <c r="L153" s="250"/>
    </row>
    <row r="154" spans="1:12" s="251" customFormat="1" ht="15.75" hidden="1" x14ac:dyDescent="0.25">
      <c r="A154" s="257"/>
      <c r="B154" s="284" t="s">
        <v>257</v>
      </c>
      <c r="C154" s="270" t="s">
        <v>16</v>
      </c>
      <c r="D154" s="344">
        <v>5.73</v>
      </c>
      <c r="E154" s="261"/>
      <c r="F154" s="261"/>
      <c r="G154" s="261"/>
      <c r="H154" s="278"/>
      <c r="I154" s="316"/>
      <c r="J154" s="249"/>
      <c r="K154" s="250"/>
      <c r="L154" s="250"/>
    </row>
    <row r="155" spans="1:12" s="251" customFormat="1" ht="15.75" hidden="1" x14ac:dyDescent="0.25">
      <c r="A155" s="257"/>
      <c r="B155" s="284" t="s">
        <v>258</v>
      </c>
      <c r="C155" s="270" t="s">
        <v>16</v>
      </c>
      <c r="D155" s="344">
        <v>16.16</v>
      </c>
      <c r="E155" s="261"/>
      <c r="F155" s="261"/>
      <c r="G155" s="261"/>
      <c r="H155" s="278"/>
      <c r="I155" s="316"/>
      <c r="J155" s="249"/>
      <c r="K155" s="250"/>
      <c r="L155" s="250"/>
    </row>
    <row r="156" spans="1:12" s="251" customFormat="1" ht="15.75" hidden="1" x14ac:dyDescent="0.25">
      <c r="A156" s="257"/>
      <c r="B156" s="284" t="s">
        <v>259</v>
      </c>
      <c r="C156" s="270" t="s">
        <v>16</v>
      </c>
      <c r="D156" s="344">
        <v>47</v>
      </c>
      <c r="E156" s="261"/>
      <c r="F156" s="261"/>
      <c r="G156" s="261"/>
      <c r="H156" s="278"/>
      <c r="I156" s="316"/>
      <c r="J156" s="249"/>
      <c r="K156" s="250"/>
      <c r="L156" s="250"/>
    </row>
    <row r="157" spans="1:12" s="251" customFormat="1" ht="40.15" hidden="1" customHeight="1" x14ac:dyDescent="0.25">
      <c r="A157" s="257"/>
      <c r="B157" s="284" t="s">
        <v>260</v>
      </c>
      <c r="C157" s="270" t="s">
        <v>16</v>
      </c>
      <c r="D157" s="344">
        <f>19.25*3.7</f>
        <v>71.225000000000009</v>
      </c>
      <c r="E157" s="261"/>
      <c r="F157" s="261"/>
      <c r="G157" s="261"/>
      <c r="H157" s="278"/>
      <c r="I157" s="316"/>
      <c r="J157" s="249"/>
      <c r="K157" s="250"/>
      <c r="L157" s="250"/>
    </row>
    <row r="158" spans="1:12" s="251" customFormat="1" ht="33.6" hidden="1" customHeight="1" x14ac:dyDescent="0.25">
      <c r="A158" s="257"/>
      <c r="B158" s="284" t="s">
        <v>268</v>
      </c>
      <c r="C158" s="270" t="s">
        <v>16</v>
      </c>
      <c r="D158" s="344">
        <f>7.85*4</f>
        <v>31.4</v>
      </c>
      <c r="E158" s="261"/>
      <c r="F158" s="261"/>
      <c r="G158" s="261"/>
      <c r="H158" s="278"/>
      <c r="I158" s="316"/>
      <c r="J158" s="249"/>
      <c r="K158" s="250"/>
      <c r="L158" s="250"/>
    </row>
    <row r="159" spans="1:12" s="251" customFormat="1" ht="27.6" hidden="1" customHeight="1" x14ac:dyDescent="0.25">
      <c r="A159" s="257"/>
      <c r="B159" s="284" t="s">
        <v>261</v>
      </c>
      <c r="C159" s="270" t="s">
        <v>16</v>
      </c>
      <c r="D159" s="344">
        <v>48.5</v>
      </c>
      <c r="E159" s="261"/>
      <c r="F159" s="261"/>
      <c r="G159" s="261"/>
      <c r="H159" s="278"/>
      <c r="I159" s="316"/>
      <c r="J159" s="249"/>
      <c r="K159" s="250"/>
      <c r="L159" s="250"/>
    </row>
    <row r="160" spans="1:12" s="251" customFormat="1" ht="15.75" hidden="1" x14ac:dyDescent="0.25">
      <c r="A160" s="257"/>
      <c r="B160" s="318" t="s">
        <v>262</v>
      </c>
      <c r="C160" s="270" t="s">
        <v>16</v>
      </c>
      <c r="D160" s="345">
        <f>SUM(D149:D159)</f>
        <v>309.27499999999998</v>
      </c>
      <c r="E160" s="261"/>
      <c r="F160" s="261"/>
      <c r="G160" s="261"/>
      <c r="H160" s="278"/>
      <c r="I160" s="316"/>
      <c r="J160" s="249"/>
      <c r="K160" s="250"/>
      <c r="L160" s="250"/>
    </row>
    <row r="161" spans="1:12" s="251" customFormat="1" ht="15.75" hidden="1" x14ac:dyDescent="0.25">
      <c r="A161" s="257"/>
      <c r="B161" s="318"/>
      <c r="C161" s="260"/>
      <c r="D161" s="345"/>
      <c r="E161" s="261"/>
      <c r="F161" s="261"/>
      <c r="G161" s="261"/>
      <c r="H161" s="278"/>
      <c r="I161" s="316"/>
      <c r="J161" s="249"/>
      <c r="K161" s="250"/>
      <c r="L161" s="250"/>
    </row>
    <row r="162" spans="1:12" s="251" customFormat="1" ht="15.75" hidden="1" x14ac:dyDescent="0.25">
      <c r="A162" s="257"/>
      <c r="B162" s="318" t="s">
        <v>202</v>
      </c>
      <c r="C162" s="270"/>
      <c r="D162" s="344"/>
      <c r="E162" s="261"/>
      <c r="F162" s="261"/>
      <c r="G162" s="261"/>
      <c r="H162" s="278"/>
      <c r="I162" s="316"/>
      <c r="J162" s="249"/>
      <c r="K162" s="250"/>
      <c r="L162" s="250"/>
    </row>
    <row r="163" spans="1:12" s="251" customFormat="1" ht="15.75" hidden="1" x14ac:dyDescent="0.2">
      <c r="A163" s="257"/>
      <c r="B163" s="376" t="s">
        <v>263</v>
      </c>
      <c r="C163" s="270" t="s">
        <v>16</v>
      </c>
      <c r="D163" s="344">
        <v>22.62</v>
      </c>
      <c r="E163" s="261"/>
      <c r="F163" s="261"/>
      <c r="G163" s="261"/>
      <c r="H163" s="278"/>
      <c r="I163" s="316"/>
      <c r="J163" s="249"/>
      <c r="K163" s="250"/>
      <c r="L163" s="250"/>
    </row>
    <row r="164" spans="1:12" s="251" customFormat="1" ht="15.75" hidden="1" x14ac:dyDescent="0.2">
      <c r="A164" s="257"/>
      <c r="B164" s="376" t="s">
        <v>253</v>
      </c>
      <c r="C164" s="270" t="s">
        <v>16</v>
      </c>
      <c r="D164" s="344">
        <v>7.27</v>
      </c>
      <c r="E164" s="261"/>
      <c r="F164" s="261"/>
      <c r="G164" s="261"/>
      <c r="H164" s="278"/>
      <c r="I164" s="316"/>
      <c r="J164" s="249"/>
      <c r="K164" s="250"/>
      <c r="L164" s="250"/>
    </row>
    <row r="165" spans="1:12" s="251" customFormat="1" ht="15.75" hidden="1" x14ac:dyDescent="0.25">
      <c r="A165" s="257"/>
      <c r="B165" s="284" t="s">
        <v>264</v>
      </c>
      <c r="C165" s="270" t="s">
        <v>16</v>
      </c>
      <c r="D165" s="344">
        <v>33.07</v>
      </c>
      <c r="E165" s="261"/>
      <c r="F165" s="261"/>
      <c r="G165" s="261"/>
      <c r="H165" s="278"/>
      <c r="I165" s="316"/>
      <c r="J165" s="249"/>
      <c r="K165" s="250"/>
      <c r="L165" s="250"/>
    </row>
    <row r="166" spans="1:12" s="251" customFormat="1" ht="15.75" hidden="1" x14ac:dyDescent="0.25">
      <c r="A166" s="257"/>
      <c r="B166" s="284" t="s">
        <v>265</v>
      </c>
      <c r="C166" s="270" t="s">
        <v>16</v>
      </c>
      <c r="D166" s="344">
        <v>102.02</v>
      </c>
      <c r="E166" s="261"/>
      <c r="F166" s="261"/>
      <c r="G166" s="261"/>
      <c r="H166" s="278"/>
      <c r="I166" s="316"/>
      <c r="J166" s="249"/>
      <c r="K166" s="250"/>
      <c r="L166" s="250"/>
    </row>
    <row r="167" spans="1:12" s="251" customFormat="1" ht="15.75" hidden="1" x14ac:dyDescent="0.25">
      <c r="A167" s="257"/>
      <c r="B167" s="318" t="s">
        <v>266</v>
      </c>
      <c r="C167" s="270" t="s">
        <v>16</v>
      </c>
      <c r="D167" s="345">
        <f>SUM(D163:D166)</f>
        <v>164.98</v>
      </c>
      <c r="E167" s="261"/>
      <c r="F167" s="261"/>
      <c r="G167" s="261"/>
      <c r="H167" s="278"/>
      <c r="I167" s="316"/>
      <c r="J167" s="249"/>
      <c r="K167" s="250"/>
      <c r="L167" s="250"/>
    </row>
    <row r="168" spans="1:12" s="251" customFormat="1" ht="15.75" hidden="1" x14ac:dyDescent="0.25">
      <c r="A168" s="257"/>
      <c r="B168" s="318" t="s">
        <v>267</v>
      </c>
      <c r="C168" s="270" t="s">
        <v>16</v>
      </c>
      <c r="D168" s="345">
        <f>D167+D160</f>
        <v>474.255</v>
      </c>
      <c r="E168" s="261"/>
      <c r="F168" s="261"/>
      <c r="G168" s="261"/>
      <c r="H168" s="278"/>
      <c r="I168" s="316"/>
      <c r="J168" s="249"/>
      <c r="K168" s="250"/>
      <c r="L168" s="250"/>
    </row>
    <row r="169" spans="1:12" s="251" customFormat="1" ht="15.75" hidden="1" x14ac:dyDescent="0.25">
      <c r="A169" s="324"/>
      <c r="B169" s="321"/>
      <c r="C169" s="377"/>
      <c r="D169" s="345"/>
      <c r="E169" s="261"/>
      <c r="F169" s="261"/>
      <c r="G169" s="261"/>
      <c r="H169" s="278"/>
      <c r="I169" s="316"/>
      <c r="J169" s="249"/>
      <c r="K169" s="250"/>
      <c r="L169" s="250"/>
    </row>
    <row r="170" spans="1:12" s="251" customFormat="1" ht="31.5" hidden="1" x14ac:dyDescent="0.25">
      <c r="A170" s="324"/>
      <c r="B170" s="321" t="s">
        <v>270</v>
      </c>
      <c r="C170" s="314"/>
      <c r="D170" s="314" t="e">
        <f>D146</f>
        <v>#REF!</v>
      </c>
      <c r="E170" s="261"/>
      <c r="F170" s="261"/>
      <c r="G170" s="261" t="e">
        <f>D170</f>
        <v>#REF!</v>
      </c>
      <c r="H170" s="278" t="e">
        <f>G170</f>
        <v>#REF!</v>
      </c>
      <c r="I170" s="316" t="e">
        <f>H170</f>
        <v>#REF!</v>
      </c>
      <c r="J170" s="249"/>
      <c r="K170" s="250"/>
      <c r="L170" s="250"/>
    </row>
    <row r="171" spans="1:12" s="251" customFormat="1" ht="44.45" hidden="1" customHeight="1" x14ac:dyDescent="0.25">
      <c r="A171" s="324"/>
      <c r="B171" s="317" t="s">
        <v>271</v>
      </c>
      <c r="C171" s="325"/>
      <c r="D171" s="325"/>
      <c r="E171" s="319"/>
      <c r="F171" s="319"/>
      <c r="G171" s="319"/>
      <c r="H171" s="326"/>
      <c r="I171" s="327"/>
      <c r="J171" s="249"/>
      <c r="K171" s="250"/>
      <c r="L171" s="250"/>
    </row>
    <row r="172" spans="1:12" s="251" customFormat="1" ht="15.75" hidden="1" x14ac:dyDescent="0.25">
      <c r="A172" s="272"/>
      <c r="B172" s="273" t="s">
        <v>123</v>
      </c>
      <c r="C172" s="275"/>
      <c r="D172" s="275"/>
      <c r="E172" s="275"/>
      <c r="F172" s="275"/>
      <c r="G172" s="276"/>
      <c r="H172" s="276" t="e">
        <f>SUM(H146:H171)</f>
        <v>#REF!</v>
      </c>
      <c r="I172" s="276" t="e">
        <f>SUM(I146:I171)</f>
        <v>#REF!</v>
      </c>
      <c r="J172" s="249"/>
      <c r="K172" s="250"/>
      <c r="L172" s="250"/>
    </row>
    <row r="173" spans="1:12" ht="15.75" x14ac:dyDescent="0.25">
      <c r="A173" s="146"/>
      <c r="B173" s="147"/>
      <c r="C173" s="148"/>
      <c r="D173" s="149"/>
      <c r="E173" s="281"/>
      <c r="F173" s="281"/>
      <c r="G173" s="282"/>
      <c r="H173" s="282"/>
      <c r="I173" s="283"/>
      <c r="J173" s="126"/>
      <c r="K173" s="128"/>
      <c r="L173" s="128"/>
    </row>
    <row r="174" spans="1:12" ht="15.75" x14ac:dyDescent="0.25">
      <c r="A174" s="346" t="e">
        <f>#REF!</f>
        <v>#REF!</v>
      </c>
      <c r="B174" s="347" t="e">
        <f>#REF!</f>
        <v>#REF!</v>
      </c>
      <c r="C174" s="310"/>
      <c r="D174" s="310"/>
      <c r="E174" s="310"/>
      <c r="F174" s="310"/>
      <c r="G174" s="310"/>
      <c r="H174" s="348"/>
      <c r="I174" s="349"/>
      <c r="J174" s="116"/>
      <c r="K174" s="116"/>
      <c r="L174" s="116"/>
    </row>
    <row r="175" spans="1:12" ht="15.75" x14ac:dyDescent="0.25">
      <c r="A175" s="350"/>
      <c r="B175" s="351"/>
      <c r="C175" s="352"/>
      <c r="D175" s="352"/>
      <c r="E175" s="352"/>
      <c r="F175" s="352"/>
      <c r="G175" s="352"/>
      <c r="H175" s="290"/>
      <c r="I175" s="353"/>
      <c r="J175" s="116"/>
      <c r="K175" s="116"/>
      <c r="L175" s="116"/>
    </row>
    <row r="176" spans="1:12" ht="50.45" customHeight="1" x14ac:dyDescent="0.25">
      <c r="A176" s="257" t="e">
        <f>#REF!</f>
        <v>#REF!</v>
      </c>
      <c r="B176" s="258" t="e">
        <f>#REF!</f>
        <v>#REF!</v>
      </c>
      <c r="C176" s="259" t="s">
        <v>147</v>
      </c>
      <c r="D176" s="260" t="s">
        <v>249</v>
      </c>
      <c r="E176" s="354" t="s">
        <v>162</v>
      </c>
      <c r="F176" s="354" t="s">
        <v>161</v>
      </c>
      <c r="G176" s="260" t="s">
        <v>221</v>
      </c>
      <c r="H176" s="262" t="e">
        <f>H183</f>
        <v>#REF!</v>
      </c>
      <c r="I176" s="355" t="e">
        <f>I183</f>
        <v>#REF!</v>
      </c>
      <c r="J176" s="116">
        <f>SUM(J183:J183)</f>
        <v>0</v>
      </c>
      <c r="K176" s="116">
        <f>SUM(K183:K183)</f>
        <v>0</v>
      </c>
      <c r="L176" s="116">
        <f>SUM(L183:L183)</f>
        <v>0</v>
      </c>
    </row>
    <row r="177" spans="1:19" ht="16.149999999999999" customHeight="1" x14ac:dyDescent="0.25">
      <c r="A177" s="288"/>
      <c r="B177" s="284" t="s">
        <v>245</v>
      </c>
      <c r="C177" s="259" t="s">
        <v>78</v>
      </c>
      <c r="D177" s="291">
        <v>89748.683999999994</v>
      </c>
      <c r="E177" s="291">
        <v>16318</v>
      </c>
      <c r="F177" s="356">
        <f>D177-E177</f>
        <v>73430.683999999994</v>
      </c>
      <c r="G177" s="266"/>
      <c r="H177" s="267"/>
      <c r="I177" s="292"/>
      <c r="J177" s="126">
        <f>J176+I177</f>
        <v>0</v>
      </c>
      <c r="K177" s="126">
        <f>K176+J177</f>
        <v>0</v>
      </c>
      <c r="L177" s="126">
        <f>L176+K177</f>
        <v>0</v>
      </c>
    </row>
    <row r="178" spans="1:19" ht="16.149999999999999" customHeight="1" x14ac:dyDescent="0.25">
      <c r="A178" s="288"/>
      <c r="B178" s="284" t="s">
        <v>246</v>
      </c>
      <c r="C178" s="259" t="s">
        <v>78</v>
      </c>
      <c r="D178" s="266"/>
      <c r="E178" s="291"/>
      <c r="F178" s="378" t="e">
        <f>#REF!+#REF!</f>
        <v>#REF!</v>
      </c>
      <c r="G178" s="266"/>
      <c r="H178" s="267"/>
      <c r="I178" s="292"/>
      <c r="J178" s="126"/>
      <c r="K178" s="126"/>
      <c r="L178" s="126"/>
    </row>
    <row r="179" spans="1:19" ht="37.9" customHeight="1" x14ac:dyDescent="0.25">
      <c r="A179" s="288"/>
      <c r="B179" s="357" t="s">
        <v>247</v>
      </c>
      <c r="C179" s="259"/>
      <c r="D179" s="271"/>
      <c r="E179" s="291"/>
      <c r="F179" s="294"/>
      <c r="G179" s="358" t="e">
        <f>ROUND(F178/F177,4)*100</f>
        <v>#REF!</v>
      </c>
      <c r="H179" s="359" t="e">
        <f>G179</f>
        <v>#REF!</v>
      </c>
      <c r="I179" s="360"/>
      <c r="J179" s="126"/>
      <c r="K179" s="126"/>
      <c r="L179" s="126"/>
    </row>
    <row r="180" spans="1:19" ht="24" customHeight="1" x14ac:dyDescent="0.25">
      <c r="A180" s="288"/>
      <c r="B180" s="361" t="s">
        <v>179</v>
      </c>
      <c r="C180" s="290" t="s">
        <v>23</v>
      </c>
      <c r="D180" s="291"/>
      <c r="E180" s="291"/>
      <c r="F180" s="294"/>
      <c r="G180" s="358" t="e">
        <f>#REF!+#REF!</f>
        <v>#REF!</v>
      </c>
      <c r="H180" s="266"/>
      <c r="I180" s="292"/>
      <c r="J180" s="126"/>
      <c r="K180" s="126"/>
      <c r="L180" s="126"/>
      <c r="P180" s="125"/>
      <c r="Q180" s="163"/>
      <c r="R180" s="166"/>
      <c r="S180" s="163"/>
    </row>
    <row r="181" spans="1:19" ht="25.9" customHeight="1" x14ac:dyDescent="0.25">
      <c r="A181" s="288"/>
      <c r="B181" s="362" t="s">
        <v>206</v>
      </c>
      <c r="C181" s="290" t="s">
        <v>23</v>
      </c>
      <c r="D181" s="291"/>
      <c r="E181" s="291"/>
      <c r="F181" s="294"/>
      <c r="G181" s="363" t="e">
        <f>SUM(G179:G180)</f>
        <v>#REF!</v>
      </c>
      <c r="H181" s="266"/>
      <c r="I181" s="364" t="e">
        <f>SUM(G181)</f>
        <v>#REF!</v>
      </c>
      <c r="J181" s="126"/>
      <c r="K181" s="126"/>
      <c r="L181" s="126"/>
      <c r="P181" s="125"/>
      <c r="Q181" s="163"/>
      <c r="R181" s="166"/>
      <c r="S181" s="163"/>
    </row>
    <row r="182" spans="1:19" ht="12" customHeight="1" x14ac:dyDescent="0.25">
      <c r="A182" s="288"/>
      <c r="B182" s="365"/>
      <c r="C182" s="290"/>
      <c r="D182" s="266"/>
      <c r="E182" s="366"/>
      <c r="F182" s="366"/>
      <c r="G182" s="266"/>
      <c r="H182" s="266"/>
      <c r="I182" s="268"/>
      <c r="J182" s="126"/>
      <c r="K182" s="126"/>
      <c r="L182" s="126"/>
    </row>
    <row r="183" spans="1:19" ht="15.75" x14ac:dyDescent="0.25">
      <c r="A183" s="272"/>
      <c r="B183" s="273" t="s">
        <v>123</v>
      </c>
      <c r="C183" s="275"/>
      <c r="D183" s="275"/>
      <c r="E183" s="275"/>
      <c r="F183" s="275"/>
      <c r="G183" s="276"/>
      <c r="H183" s="367" t="e">
        <f>SUM(H179:H182)</f>
        <v>#REF!</v>
      </c>
      <c r="I183" s="368" t="e">
        <f>I181</f>
        <v>#REF!</v>
      </c>
      <c r="J183" s="126"/>
      <c r="K183" s="128"/>
      <c r="L183" s="128"/>
    </row>
    <row r="185" spans="1:19" x14ac:dyDescent="0.25">
      <c r="G185" s="142" t="e">
        <f>#REF!</f>
        <v>#REF!</v>
      </c>
    </row>
  </sheetData>
  <mergeCells count="13">
    <mergeCell ref="B1:F1"/>
    <mergeCell ref="B2:F2"/>
    <mergeCell ref="E119:F119"/>
    <mergeCell ref="B17:G17"/>
    <mergeCell ref="B54:G54"/>
    <mergeCell ref="B3:G3"/>
    <mergeCell ref="B4:I4"/>
    <mergeCell ref="A5:I5"/>
    <mergeCell ref="A6:A7"/>
    <mergeCell ref="B6:B7"/>
    <mergeCell ref="C6:C7"/>
    <mergeCell ref="D6:G7"/>
    <mergeCell ref="H6:I6"/>
  </mergeCells>
  <phoneticPr fontId="41" type="noConversion"/>
  <printOptions horizontalCentered="1" gridLines="1"/>
  <pageMargins left="0.78740157480314965" right="0.39370078740157483" top="0.78740157480314965" bottom="0.78740157480314965" header="0.51181102362204722" footer="0.27559055118110237"/>
  <pageSetup paperSize="9" scale="58" orientation="portrait" r:id="rId1"/>
  <headerFooter alignWithMargins="0">
    <oddFooter>Página &amp;P de &amp;N</oddFooter>
  </headerFooter>
  <rowBreaks count="1" manualBreakCount="1">
    <brk id="117" max="9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T188"/>
  <sheetViews>
    <sheetView showZeros="0" view="pageBreakPreview" topLeftCell="A131" zoomScale="70" zoomScaleNormal="70" zoomScaleSheetLayoutView="70" workbookViewId="0">
      <selection activeCell="G182" sqref="G182"/>
    </sheetView>
  </sheetViews>
  <sheetFormatPr defaultColWidth="9.28515625" defaultRowHeight="12" x14ac:dyDescent="0.25"/>
  <cols>
    <col min="1" max="1" width="12.85546875" style="140" customWidth="1"/>
    <col min="2" max="2" width="62.85546875" style="140" customWidth="1"/>
    <col min="3" max="3" width="6" style="141" customWidth="1"/>
    <col min="4" max="4" width="14" style="141" customWidth="1"/>
    <col min="5" max="5" width="13.42578125" style="141" customWidth="1"/>
    <col min="6" max="6" width="12.42578125" style="141" customWidth="1"/>
    <col min="7" max="7" width="10.5703125" style="142" customWidth="1"/>
    <col min="8" max="8" width="11.28515625" style="142" customWidth="1"/>
    <col min="9" max="9" width="12" style="143" customWidth="1"/>
    <col min="10" max="11" width="11.28515625" style="107" hidden="1" customWidth="1"/>
    <col min="12" max="12" width="11.28515625" style="108" hidden="1" customWidth="1"/>
    <col min="13" max="17" width="0" style="109" hidden="1" customWidth="1"/>
    <col min="18" max="18" width="0.7109375" style="109" customWidth="1"/>
    <col min="19" max="16384" width="9.28515625" style="109"/>
  </cols>
  <sheetData>
    <row r="1" spans="1:19" ht="17.100000000000001" customHeight="1" x14ac:dyDescent="0.25">
      <c r="A1" s="369"/>
      <c r="B1" s="620" t="s">
        <v>230</v>
      </c>
      <c r="C1" s="620"/>
      <c r="D1" s="620"/>
      <c r="E1" s="620"/>
      <c r="F1" s="620"/>
      <c r="G1" s="253"/>
      <c r="H1" s="253"/>
      <c r="I1" s="253"/>
    </row>
    <row r="2" spans="1:19" ht="18" x14ac:dyDescent="0.25">
      <c r="A2" s="369"/>
      <c r="B2" s="621" t="s">
        <v>167</v>
      </c>
      <c r="C2" s="621"/>
      <c r="D2" s="621"/>
      <c r="E2" s="621"/>
      <c r="F2" s="621"/>
      <c r="G2" s="254"/>
      <c r="H2" s="254"/>
      <c r="I2" s="255"/>
    </row>
    <row r="3" spans="1:19" ht="41.45" customHeight="1" x14ac:dyDescent="0.25">
      <c r="A3" s="369"/>
      <c r="B3" s="626" t="s">
        <v>231</v>
      </c>
      <c r="C3" s="626"/>
      <c r="D3" s="626"/>
      <c r="E3" s="626"/>
      <c r="F3" s="626"/>
      <c r="G3" s="626"/>
      <c r="H3" s="256"/>
      <c r="I3" s="256"/>
    </row>
    <row r="4" spans="1:19" ht="19.149999999999999" customHeight="1" thickBot="1" x14ac:dyDescent="0.3">
      <c r="A4" s="369"/>
      <c r="B4" s="627" t="s">
        <v>232</v>
      </c>
      <c r="C4" s="627"/>
      <c r="D4" s="627"/>
      <c r="E4" s="627"/>
      <c r="F4" s="627"/>
      <c r="G4" s="627"/>
      <c r="H4" s="627"/>
      <c r="I4" s="627"/>
    </row>
    <row r="5" spans="1:19" ht="21.6" customHeight="1" thickBot="1" x14ac:dyDescent="0.3">
      <c r="A5" s="628" t="s">
        <v>283</v>
      </c>
      <c r="B5" s="629"/>
      <c r="C5" s="629"/>
      <c r="D5" s="629"/>
      <c r="E5" s="629"/>
      <c r="F5" s="629"/>
      <c r="G5" s="629"/>
      <c r="H5" s="629"/>
      <c r="I5" s="630"/>
    </row>
    <row r="6" spans="1:19" ht="25.15" customHeight="1" x14ac:dyDescent="0.25">
      <c r="A6" s="631" t="s">
        <v>74</v>
      </c>
      <c r="B6" s="633" t="s">
        <v>118</v>
      </c>
      <c r="C6" s="635" t="s">
        <v>147</v>
      </c>
      <c r="D6" s="637" t="s">
        <v>139</v>
      </c>
      <c r="E6" s="638"/>
      <c r="F6" s="638"/>
      <c r="G6" s="638"/>
      <c r="H6" s="641" t="s">
        <v>121</v>
      </c>
      <c r="I6" s="642"/>
      <c r="J6" s="202" t="s">
        <v>119</v>
      </c>
      <c r="K6" s="110" t="s">
        <v>120</v>
      </c>
      <c r="L6" s="110" t="s">
        <v>121</v>
      </c>
    </row>
    <row r="7" spans="1:19" ht="28.9" customHeight="1" thickBot="1" x14ac:dyDescent="0.3">
      <c r="A7" s="632"/>
      <c r="B7" s="634"/>
      <c r="C7" s="636"/>
      <c r="D7" s="639"/>
      <c r="E7" s="640"/>
      <c r="F7" s="640"/>
      <c r="G7" s="640"/>
      <c r="H7" s="373" t="s">
        <v>137</v>
      </c>
      <c r="I7" s="374" t="s">
        <v>138</v>
      </c>
      <c r="J7" s="200" t="s">
        <v>122</v>
      </c>
      <c r="K7" s="111" t="s">
        <v>122</v>
      </c>
      <c r="L7" s="111" t="s">
        <v>122</v>
      </c>
    </row>
    <row r="8" spans="1:19" ht="22.15" hidden="1" customHeight="1" x14ac:dyDescent="0.25">
      <c r="A8" s="308" t="e">
        <f>#REF!</f>
        <v>#REF!</v>
      </c>
      <c r="B8" s="309" t="e">
        <f>#REF!</f>
        <v>#REF!</v>
      </c>
      <c r="C8" s="310"/>
      <c r="D8" s="310"/>
      <c r="E8" s="310"/>
      <c r="F8" s="310"/>
      <c r="G8" s="310"/>
      <c r="H8" s="310"/>
      <c r="I8" s="311"/>
      <c r="J8" s="116"/>
      <c r="K8" s="116"/>
      <c r="L8" s="116"/>
    </row>
    <row r="9" spans="1:19" ht="15.75" hidden="1" x14ac:dyDescent="0.25">
      <c r="A9" s="350"/>
      <c r="B9" s="351"/>
      <c r="C9" s="352"/>
      <c r="D9" s="352"/>
      <c r="E9" s="352"/>
      <c r="F9" s="352"/>
      <c r="G9" s="352"/>
      <c r="H9" s="290"/>
      <c r="I9" s="353"/>
      <c r="J9" s="116"/>
      <c r="K9" s="116"/>
      <c r="L9" s="116"/>
      <c r="M9" s="109" t="s">
        <v>145</v>
      </c>
    </row>
    <row r="10" spans="1:19" ht="58.15" hidden="1" customHeight="1" x14ac:dyDescent="0.25">
      <c r="A10" s="257" t="e">
        <f>#REF!</f>
        <v>#REF!</v>
      </c>
      <c r="B10" s="258" t="e">
        <f>#REF!</f>
        <v>#REF!</v>
      </c>
      <c r="C10" s="259" t="s">
        <v>147</v>
      </c>
      <c r="D10" s="260" t="s">
        <v>185</v>
      </c>
      <c r="E10" s="260" t="s">
        <v>157</v>
      </c>
      <c r="F10" s="260"/>
      <c r="G10" s="260" t="s">
        <v>159</v>
      </c>
      <c r="H10" s="262">
        <f>H18</f>
        <v>0</v>
      </c>
      <c r="I10" s="263">
        <f>I18</f>
        <v>724.68000000000006</v>
      </c>
      <c r="J10" s="116">
        <f>SUM(J17:J18)</f>
        <v>0</v>
      </c>
      <c r="K10" s="116">
        <f>SUM(K17:K18)</f>
        <v>0</v>
      </c>
      <c r="L10" s="116">
        <f>SUM(L17:L18)</f>
        <v>0</v>
      </c>
      <c r="M10" s="150" t="s">
        <v>136</v>
      </c>
      <c r="N10" s="150" t="s">
        <v>141</v>
      </c>
      <c r="O10" s="150" t="s">
        <v>142</v>
      </c>
      <c r="P10" s="150" t="s">
        <v>144</v>
      </c>
    </row>
    <row r="11" spans="1:19" ht="25.5" hidden="1" customHeight="1" x14ac:dyDescent="0.25">
      <c r="A11" s="288"/>
      <c r="B11" s="295" t="s">
        <v>180</v>
      </c>
      <c r="C11" s="294"/>
      <c r="D11" s="266"/>
      <c r="E11" s="291"/>
      <c r="F11" s="291"/>
      <c r="G11" s="266"/>
      <c r="H11" s="266"/>
      <c r="I11" s="268"/>
      <c r="J11" s="126"/>
      <c r="K11" s="126"/>
      <c r="L11" s="126"/>
      <c r="M11" s="22">
        <v>5.1100000000000003</v>
      </c>
      <c r="N11" s="22">
        <v>2.23</v>
      </c>
      <c r="O11" s="22">
        <v>2.23</v>
      </c>
      <c r="P11" s="125">
        <v>0</v>
      </c>
      <c r="Q11" s="163">
        <f>SUM(M11:P11)</f>
        <v>9.57</v>
      </c>
    </row>
    <row r="12" spans="1:19" ht="12" hidden="1" customHeight="1" x14ac:dyDescent="0.25">
      <c r="A12" s="288"/>
      <c r="B12" s="289" t="s">
        <v>182</v>
      </c>
      <c r="C12" s="290" t="s">
        <v>16</v>
      </c>
      <c r="D12" s="291">
        <v>437.52</v>
      </c>
      <c r="E12" s="291"/>
      <c r="F12" s="291"/>
      <c r="G12" s="266"/>
      <c r="H12" s="266"/>
      <c r="I12" s="268"/>
      <c r="J12" s="126"/>
      <c r="K12" s="126"/>
      <c r="L12" s="126"/>
      <c r="M12" s="165">
        <f>M11/Q11</f>
        <v>0.53396029258098221</v>
      </c>
      <c r="N12" s="165">
        <f>N11/Q11</f>
        <v>0.23301985370950887</v>
      </c>
      <c r="O12" s="165">
        <f>O11/Q11</f>
        <v>0.23301985370950887</v>
      </c>
      <c r="P12" s="125">
        <v>0</v>
      </c>
      <c r="Q12" s="164">
        <f t="shared" ref="Q12:Q15" si="0">SUM(M12:P12)</f>
        <v>0.99999999999999989</v>
      </c>
      <c r="S12" s="232"/>
    </row>
    <row r="13" spans="1:19" ht="17.100000000000001" hidden="1" customHeight="1" x14ac:dyDescent="0.25">
      <c r="A13" s="288"/>
      <c r="B13" s="289" t="s">
        <v>183</v>
      </c>
      <c r="C13" s="290" t="s">
        <v>16</v>
      </c>
      <c r="D13" s="291">
        <v>287.16000000000003</v>
      </c>
      <c r="E13" s="291"/>
      <c r="F13" s="291"/>
      <c r="G13" s="266"/>
      <c r="H13" s="266"/>
      <c r="I13" s="268"/>
      <c r="J13" s="126"/>
      <c r="K13" s="126"/>
      <c r="L13" s="126"/>
      <c r="P13" s="125">
        <v>0</v>
      </c>
      <c r="Q13" s="163">
        <f t="shared" si="0"/>
        <v>0</v>
      </c>
    </row>
    <row r="14" spans="1:19" ht="17.100000000000001" hidden="1" customHeight="1" x14ac:dyDescent="0.25">
      <c r="A14" s="288"/>
      <c r="B14" s="289" t="s">
        <v>181</v>
      </c>
      <c r="C14" s="290"/>
      <c r="D14" s="291">
        <f>SUM(D12:D13)</f>
        <v>724.68000000000006</v>
      </c>
      <c r="E14" s="291">
        <f>D14</f>
        <v>724.68000000000006</v>
      </c>
      <c r="F14" s="291"/>
      <c r="G14" s="291">
        <f>E14</f>
        <v>724.68000000000006</v>
      </c>
      <c r="H14" s="266"/>
      <c r="I14" s="268">
        <f>G14</f>
        <v>724.68000000000006</v>
      </c>
      <c r="J14" s="126"/>
      <c r="K14" s="126"/>
      <c r="L14" s="126"/>
      <c r="P14" s="125"/>
      <c r="Q14" s="163"/>
    </row>
    <row r="15" spans="1:19" ht="12" hidden="1" customHeight="1" x14ac:dyDescent="0.25">
      <c r="A15" s="288"/>
      <c r="B15" s="300" t="s">
        <v>207</v>
      </c>
      <c r="C15" s="290" t="s">
        <v>16</v>
      </c>
      <c r="D15" s="370">
        <v>434.80800000000005</v>
      </c>
      <c r="E15" s="298">
        <f>D15</f>
        <v>434.80800000000005</v>
      </c>
      <c r="F15" s="291"/>
      <c r="G15" s="291">
        <f>E15</f>
        <v>434.80800000000005</v>
      </c>
      <c r="H15" s="266"/>
      <c r="I15" s="268"/>
      <c r="J15" s="126"/>
      <c r="K15" s="126"/>
      <c r="L15" s="126"/>
      <c r="M15" s="109">
        <v>4.55</v>
      </c>
      <c r="N15" s="109">
        <v>1.99</v>
      </c>
      <c r="O15" s="109">
        <v>1.99</v>
      </c>
      <c r="P15" s="125">
        <v>0</v>
      </c>
      <c r="Q15" s="163">
        <f t="shared" si="0"/>
        <v>8.5299999999999994</v>
      </c>
      <c r="R15" s="166"/>
      <c r="S15" s="163"/>
    </row>
    <row r="16" spans="1:19" ht="12" hidden="1" customHeight="1" x14ac:dyDescent="0.25">
      <c r="A16" s="288"/>
      <c r="B16" s="300" t="s">
        <v>208</v>
      </c>
      <c r="C16" s="290" t="s">
        <v>16</v>
      </c>
      <c r="D16" s="371">
        <f>D14-D15</f>
        <v>289.87200000000001</v>
      </c>
      <c r="E16" s="301">
        <f>E14-E15</f>
        <v>289.87200000000001</v>
      </c>
      <c r="F16" s="291"/>
      <c r="G16" s="301">
        <f>E16</f>
        <v>289.87200000000001</v>
      </c>
      <c r="H16" s="302"/>
      <c r="I16" s="303">
        <f>I14</f>
        <v>724.68000000000006</v>
      </c>
      <c r="J16" s="126"/>
      <c r="K16" s="126"/>
      <c r="L16" s="126"/>
      <c r="P16" s="125"/>
      <c r="Q16" s="163"/>
      <c r="R16" s="166"/>
      <c r="S16" s="163"/>
    </row>
    <row r="17" spans="1:12" ht="76.900000000000006" hidden="1" customHeight="1" x14ac:dyDescent="0.2">
      <c r="A17" s="264"/>
      <c r="B17" s="624" t="s">
        <v>248</v>
      </c>
      <c r="C17" s="625"/>
      <c r="D17" s="625"/>
      <c r="E17" s="625"/>
      <c r="F17" s="625"/>
      <c r="G17" s="625"/>
      <c r="H17" s="266"/>
      <c r="I17" s="268"/>
      <c r="J17" s="126"/>
      <c r="K17" s="128"/>
      <c r="L17" s="128"/>
    </row>
    <row r="18" spans="1:12" ht="15.75" hidden="1" x14ac:dyDescent="0.25">
      <c r="A18" s="272"/>
      <c r="B18" s="273" t="s">
        <v>123</v>
      </c>
      <c r="C18" s="275"/>
      <c r="D18" s="275"/>
      <c r="E18" s="275"/>
      <c r="F18" s="275"/>
      <c r="G18" s="276"/>
      <c r="H18" s="276">
        <f>H16</f>
        <v>0</v>
      </c>
      <c r="I18" s="277">
        <f>I16</f>
        <v>724.68000000000006</v>
      </c>
      <c r="J18" s="126"/>
      <c r="K18" s="128"/>
      <c r="L18" s="128"/>
    </row>
    <row r="19" spans="1:12" ht="15.75" hidden="1" x14ac:dyDescent="0.25">
      <c r="A19" s="285"/>
      <c r="B19" s="286"/>
      <c r="C19" s="287"/>
      <c r="D19" s="281"/>
      <c r="E19" s="281"/>
      <c r="F19" s="281"/>
      <c r="G19" s="282"/>
      <c r="H19" s="282"/>
      <c r="I19" s="283"/>
      <c r="J19" s="126"/>
      <c r="K19" s="128"/>
      <c r="L19" s="128"/>
    </row>
    <row r="20" spans="1:12" ht="47.25" hidden="1" x14ac:dyDescent="0.25">
      <c r="A20" s="257" t="e">
        <f>#REF!</f>
        <v>#REF!</v>
      </c>
      <c r="B20" s="258" t="e">
        <f>#REF!</f>
        <v>#REF!</v>
      </c>
      <c r="C20" s="259" t="s">
        <v>147</v>
      </c>
      <c r="D20" s="260" t="s">
        <v>200</v>
      </c>
      <c r="E20" s="260"/>
      <c r="F20" s="260"/>
      <c r="G20" s="260" t="s">
        <v>143</v>
      </c>
      <c r="H20" s="262">
        <f>H24</f>
        <v>0</v>
      </c>
      <c r="I20" s="263">
        <f>I24</f>
        <v>0.2</v>
      </c>
      <c r="J20" s="126"/>
      <c r="K20" s="128"/>
      <c r="L20" s="128"/>
    </row>
    <row r="21" spans="1:12" ht="15.75" hidden="1" x14ac:dyDescent="0.25">
      <c r="A21" s="288"/>
      <c r="B21" s="372"/>
      <c r="C21" s="266"/>
      <c r="D21" s="291"/>
      <c r="E21" s="291"/>
      <c r="F21" s="260"/>
      <c r="G21" s="266"/>
      <c r="H21" s="267"/>
      <c r="I21" s="268"/>
      <c r="J21" s="126"/>
      <c r="K21" s="128"/>
      <c r="L21" s="128"/>
    </row>
    <row r="22" spans="1:12" s="251" customFormat="1" ht="30" hidden="1" x14ac:dyDescent="0.25">
      <c r="A22" s="257"/>
      <c r="B22" s="269" t="s">
        <v>178</v>
      </c>
      <c r="C22" s="265" t="s">
        <v>152</v>
      </c>
      <c r="D22" s="265">
        <v>0.2</v>
      </c>
      <c r="E22" s="265"/>
      <c r="F22" s="265"/>
      <c r="G22" s="271">
        <v>0.2</v>
      </c>
      <c r="H22" s="271"/>
      <c r="I22" s="263">
        <v>0.2</v>
      </c>
      <c r="J22" s="249"/>
      <c r="K22" s="250"/>
      <c r="L22" s="250"/>
    </row>
    <row r="23" spans="1:12" ht="15.75" hidden="1" x14ac:dyDescent="0.25">
      <c r="A23" s="288"/>
      <c r="B23" s="264"/>
      <c r="C23" s="291"/>
      <c r="D23" s="291"/>
      <c r="E23" s="291"/>
      <c r="F23" s="291"/>
      <c r="G23" s="266"/>
      <c r="H23" s="266"/>
      <c r="I23" s="268"/>
      <c r="J23" s="126"/>
      <c r="K23" s="128"/>
      <c r="L23" s="128"/>
    </row>
    <row r="24" spans="1:12" ht="15.75" hidden="1" x14ac:dyDescent="0.25">
      <c r="A24" s="272"/>
      <c r="B24" s="273" t="s">
        <v>123</v>
      </c>
      <c r="C24" s="275"/>
      <c r="D24" s="275"/>
      <c r="E24" s="275"/>
      <c r="F24" s="275"/>
      <c r="G24" s="276"/>
      <c r="H24" s="276">
        <f>H22</f>
        <v>0</v>
      </c>
      <c r="I24" s="277">
        <f>I22</f>
        <v>0.2</v>
      </c>
      <c r="J24" s="126"/>
      <c r="K24" s="128"/>
      <c r="L24" s="128"/>
    </row>
    <row r="25" spans="1:12" ht="15.75" hidden="1" x14ac:dyDescent="0.25">
      <c r="A25" s="285"/>
      <c r="B25" s="286"/>
      <c r="C25" s="281"/>
      <c r="D25" s="281"/>
      <c r="E25" s="281"/>
      <c r="F25" s="281"/>
      <c r="G25" s="282"/>
      <c r="H25" s="282"/>
      <c r="I25" s="283"/>
      <c r="J25" s="126"/>
      <c r="K25" s="128"/>
      <c r="L25" s="128"/>
    </row>
    <row r="26" spans="1:12" s="251" customFormat="1" ht="47.25" hidden="1" x14ac:dyDescent="0.25">
      <c r="A26" s="257" t="e">
        <f>#REF!</f>
        <v>#REF!</v>
      </c>
      <c r="B26" s="258" t="e">
        <f>#REF!</f>
        <v>#REF!</v>
      </c>
      <c r="C26" s="259" t="s">
        <v>147</v>
      </c>
      <c r="D26" s="260" t="s">
        <v>249</v>
      </c>
      <c r="E26" s="261"/>
      <c r="F26" s="261"/>
      <c r="G26" s="260" t="s">
        <v>143</v>
      </c>
      <c r="H26" s="262">
        <f>H30</f>
        <v>0</v>
      </c>
      <c r="I26" s="263">
        <f>I30</f>
        <v>1</v>
      </c>
      <c r="J26" s="249"/>
      <c r="K26" s="250"/>
      <c r="L26" s="250"/>
    </row>
    <row r="27" spans="1:12" s="251" customFormat="1" ht="15.75" hidden="1" x14ac:dyDescent="0.2">
      <c r="A27" s="257"/>
      <c r="B27" s="264" t="s">
        <v>195</v>
      </c>
      <c r="C27" s="257"/>
      <c r="D27" s="265"/>
      <c r="E27" s="261"/>
      <c r="F27" s="261"/>
      <c r="G27" s="266"/>
      <c r="H27" s="267"/>
      <c r="I27" s="268"/>
      <c r="J27" s="249"/>
      <c r="K27" s="250"/>
      <c r="L27" s="250"/>
    </row>
    <row r="28" spans="1:12" s="251" customFormat="1" ht="30.75" hidden="1" x14ac:dyDescent="0.25">
      <c r="A28" s="257"/>
      <c r="B28" s="269" t="s">
        <v>233</v>
      </c>
      <c r="C28" s="270" t="e">
        <f>#REF!</f>
        <v>#REF!</v>
      </c>
      <c r="D28" s="270" t="e">
        <f>#REF!</f>
        <v>#REF!</v>
      </c>
      <c r="E28" s="261"/>
      <c r="F28" s="261"/>
      <c r="G28" s="265">
        <v>1</v>
      </c>
      <c r="H28" s="271"/>
      <c r="I28" s="263">
        <f>G28</f>
        <v>1</v>
      </c>
      <c r="J28" s="249"/>
      <c r="K28" s="250"/>
      <c r="L28" s="250"/>
    </row>
    <row r="29" spans="1:12" s="251" customFormat="1" ht="15.75" hidden="1" x14ac:dyDescent="0.2">
      <c r="A29" s="257"/>
      <c r="B29" s="264"/>
      <c r="C29" s="257"/>
      <c r="D29" s="270"/>
      <c r="E29" s="261"/>
      <c r="F29" s="261"/>
      <c r="G29" s="266"/>
      <c r="H29" s="266"/>
      <c r="I29" s="268"/>
      <c r="J29" s="249"/>
      <c r="K29" s="250"/>
      <c r="L29" s="250"/>
    </row>
    <row r="30" spans="1:12" s="251" customFormat="1" ht="15.75" hidden="1" x14ac:dyDescent="0.25">
      <c r="A30" s="272"/>
      <c r="B30" s="273" t="s">
        <v>123</v>
      </c>
      <c r="C30" s="274"/>
      <c r="D30" s="274"/>
      <c r="E30" s="275"/>
      <c r="F30" s="275"/>
      <c r="G30" s="276"/>
      <c r="H30" s="276">
        <f>H28</f>
        <v>0</v>
      </c>
      <c r="I30" s="379">
        <f>I28</f>
        <v>1</v>
      </c>
      <c r="J30" s="249"/>
      <c r="K30" s="250"/>
      <c r="L30" s="250"/>
    </row>
    <row r="31" spans="1:12" s="251" customFormat="1" ht="15.75" hidden="1" x14ac:dyDescent="0.25">
      <c r="A31" s="257"/>
      <c r="B31" s="258"/>
      <c r="C31" s="257"/>
      <c r="D31" s="270"/>
      <c r="E31" s="261"/>
      <c r="F31" s="261"/>
      <c r="G31" s="278"/>
      <c r="H31" s="278"/>
      <c r="I31" s="279"/>
      <c r="J31" s="249"/>
      <c r="K31" s="250"/>
      <c r="L31" s="250"/>
    </row>
    <row r="32" spans="1:12" s="251" customFormat="1" ht="15.75" hidden="1" x14ac:dyDescent="0.25">
      <c r="A32" s="257"/>
      <c r="B32" s="258"/>
      <c r="C32" s="257"/>
      <c r="D32" s="270"/>
      <c r="E32" s="261"/>
      <c r="F32" s="261"/>
      <c r="G32" s="278"/>
      <c r="H32" s="278"/>
      <c r="I32" s="279"/>
      <c r="J32" s="249"/>
      <c r="K32" s="250"/>
      <c r="L32" s="250"/>
    </row>
    <row r="33" spans="1:17" s="251" customFormat="1" ht="47.25" hidden="1" x14ac:dyDescent="0.25">
      <c r="A33" s="257" t="e">
        <f>#REF!</f>
        <v>#REF!</v>
      </c>
      <c r="B33" s="258" t="e">
        <f>#REF!</f>
        <v>#REF!</v>
      </c>
      <c r="C33" s="257" t="e">
        <f>#REF!</f>
        <v>#REF!</v>
      </c>
      <c r="D33" s="260" t="s">
        <v>249</v>
      </c>
      <c r="E33" s="261"/>
      <c r="F33" s="261"/>
      <c r="G33" s="260" t="s">
        <v>143</v>
      </c>
      <c r="H33" s="262">
        <f>H41</f>
        <v>0</v>
      </c>
      <c r="I33" s="263">
        <f>I41</f>
        <v>41.19</v>
      </c>
      <c r="J33" s="249"/>
      <c r="K33" s="250"/>
      <c r="L33" s="250"/>
    </row>
    <row r="34" spans="1:17" ht="15.75" hidden="1" x14ac:dyDescent="0.25">
      <c r="A34" s="257"/>
      <c r="B34" s="257"/>
      <c r="C34" s="257"/>
      <c r="D34" s="280"/>
      <c r="E34" s="281"/>
      <c r="F34" s="281"/>
      <c r="G34" s="282"/>
      <c r="H34" s="282"/>
      <c r="I34" s="283"/>
      <c r="J34" s="126"/>
      <c r="K34" s="128"/>
      <c r="L34" s="128"/>
    </row>
    <row r="35" spans="1:17" s="251" customFormat="1" ht="31.5" hidden="1" x14ac:dyDescent="0.25">
      <c r="A35" s="257"/>
      <c r="B35" s="269" t="s">
        <v>234</v>
      </c>
      <c r="C35" s="270" t="s">
        <v>26</v>
      </c>
      <c r="D35" s="270" t="e">
        <f>#REF!</f>
        <v>#REF!</v>
      </c>
      <c r="E35" s="261"/>
      <c r="F35" s="261"/>
      <c r="G35" s="265"/>
      <c r="H35" s="271"/>
      <c r="I35" s="263"/>
      <c r="J35" s="249"/>
      <c r="K35" s="250"/>
      <c r="L35" s="250"/>
    </row>
    <row r="36" spans="1:17" s="251" customFormat="1" ht="15.75" hidden="1" x14ac:dyDescent="0.25">
      <c r="A36" s="257"/>
      <c r="B36" s="284" t="s">
        <v>196</v>
      </c>
      <c r="C36" s="270" t="s">
        <v>26</v>
      </c>
      <c r="D36" s="270"/>
      <c r="E36" s="261"/>
      <c r="F36" s="261"/>
      <c r="G36" s="265">
        <f>10.14</f>
        <v>10.14</v>
      </c>
      <c r="H36" s="265"/>
      <c r="I36" s="263">
        <f>G36</f>
        <v>10.14</v>
      </c>
      <c r="J36" s="249"/>
      <c r="K36" s="250"/>
      <c r="L36" s="250"/>
    </row>
    <row r="37" spans="1:17" s="251" customFormat="1" ht="15.75" hidden="1" x14ac:dyDescent="0.25">
      <c r="A37" s="257"/>
      <c r="B37" s="284" t="s">
        <v>197</v>
      </c>
      <c r="C37" s="270" t="s">
        <v>26</v>
      </c>
      <c r="D37" s="270"/>
      <c r="E37" s="261"/>
      <c r="F37" s="261"/>
      <c r="G37" s="265">
        <v>11.54</v>
      </c>
      <c r="H37" s="265"/>
      <c r="I37" s="263">
        <f t="shared" ref="I37:I39" si="1">G37</f>
        <v>11.54</v>
      </c>
      <c r="J37" s="249"/>
      <c r="K37" s="250"/>
      <c r="L37" s="250"/>
    </row>
    <row r="38" spans="1:17" s="251" customFormat="1" ht="15.75" hidden="1" x14ac:dyDescent="0.25">
      <c r="A38" s="257"/>
      <c r="B38" s="284" t="s">
        <v>198</v>
      </c>
      <c r="C38" s="270" t="s">
        <v>26</v>
      </c>
      <c r="D38" s="270"/>
      <c r="E38" s="261"/>
      <c r="F38" s="261"/>
      <c r="G38" s="265">
        <v>8.93</v>
      </c>
      <c r="H38" s="265"/>
      <c r="I38" s="263">
        <f t="shared" si="1"/>
        <v>8.93</v>
      </c>
      <c r="J38" s="249"/>
      <c r="K38" s="250"/>
      <c r="L38" s="250"/>
    </row>
    <row r="39" spans="1:17" s="251" customFormat="1" ht="15.75" hidden="1" x14ac:dyDescent="0.25">
      <c r="A39" s="257"/>
      <c r="B39" s="284" t="s">
        <v>199</v>
      </c>
      <c r="C39" s="270" t="s">
        <v>26</v>
      </c>
      <c r="D39" s="270"/>
      <c r="E39" s="261"/>
      <c r="F39" s="261"/>
      <c r="G39" s="265">
        <v>10.58</v>
      </c>
      <c r="H39" s="265"/>
      <c r="I39" s="263">
        <f t="shared" si="1"/>
        <v>10.58</v>
      </c>
      <c r="J39" s="249"/>
      <c r="K39" s="250"/>
      <c r="L39" s="250"/>
    </row>
    <row r="40" spans="1:17" s="251" customFormat="1" ht="15.75" hidden="1" x14ac:dyDescent="0.2">
      <c r="A40" s="257"/>
      <c r="B40" s="264"/>
      <c r="C40" s="257"/>
      <c r="D40" s="265"/>
      <c r="E40" s="261"/>
      <c r="F40" s="261"/>
      <c r="G40" s="266"/>
      <c r="H40" s="266"/>
      <c r="I40" s="268"/>
      <c r="J40" s="249"/>
      <c r="K40" s="250"/>
      <c r="L40" s="250"/>
    </row>
    <row r="41" spans="1:17" s="251" customFormat="1" ht="15.75" hidden="1" x14ac:dyDescent="0.25">
      <c r="A41" s="272"/>
      <c r="B41" s="273" t="s">
        <v>123</v>
      </c>
      <c r="C41" s="275"/>
      <c r="D41" s="275"/>
      <c r="E41" s="275"/>
      <c r="F41" s="275"/>
      <c r="G41" s="276"/>
      <c r="H41" s="276">
        <f>SUM(H36:H40)</f>
        <v>0</v>
      </c>
      <c r="I41" s="276">
        <f>SUM(I36:I40)</f>
        <v>41.19</v>
      </c>
      <c r="J41" s="249"/>
      <c r="K41" s="250"/>
      <c r="L41" s="250"/>
    </row>
    <row r="42" spans="1:17" s="251" customFormat="1" ht="15.75" hidden="1" x14ac:dyDescent="0.25">
      <c r="A42" s="285"/>
      <c r="B42" s="286"/>
      <c r="C42" s="287"/>
      <c r="D42" s="281"/>
      <c r="E42" s="281"/>
      <c r="F42" s="281"/>
      <c r="G42" s="282"/>
      <c r="H42" s="282"/>
      <c r="I42" s="282"/>
      <c r="J42" s="249"/>
      <c r="K42" s="250"/>
      <c r="L42" s="250"/>
    </row>
    <row r="43" spans="1:17" ht="126" hidden="1" x14ac:dyDescent="0.25">
      <c r="A43" s="257" t="e">
        <f>#REF!</f>
        <v>#REF!</v>
      </c>
      <c r="B43" s="258" t="e">
        <f>#REF!</f>
        <v>#REF!</v>
      </c>
      <c r="C43" s="259" t="s">
        <v>147</v>
      </c>
      <c r="D43" s="260" t="s">
        <v>185</v>
      </c>
      <c r="E43" s="260"/>
      <c r="F43" s="260" t="s">
        <v>192</v>
      </c>
      <c r="G43" s="260" t="s">
        <v>159</v>
      </c>
      <c r="H43" s="262">
        <f>H55</f>
        <v>0</v>
      </c>
      <c r="I43" s="263">
        <f>I53</f>
        <v>750</v>
      </c>
      <c r="J43" s="126"/>
      <c r="K43" s="128"/>
      <c r="L43" s="128"/>
    </row>
    <row r="44" spans="1:17" ht="15.75" hidden="1" x14ac:dyDescent="0.25">
      <c r="A44" s="288"/>
      <c r="B44" s="289"/>
      <c r="C44" s="290"/>
      <c r="D44" s="291"/>
      <c r="E44" s="291"/>
      <c r="F44" s="291"/>
      <c r="G44" s="266"/>
      <c r="H44" s="266"/>
      <c r="I44" s="292"/>
      <c r="J44" s="126"/>
      <c r="K44" s="126"/>
      <c r="L44" s="126"/>
      <c r="P44" s="125"/>
      <c r="Q44" s="163"/>
    </row>
    <row r="45" spans="1:17" ht="25.5" hidden="1" customHeight="1" x14ac:dyDescent="0.25">
      <c r="A45" s="288"/>
      <c r="B45" s="293" t="s">
        <v>180</v>
      </c>
      <c r="C45" s="294"/>
      <c r="D45" s="266"/>
      <c r="E45" s="291"/>
      <c r="F45" s="291"/>
      <c r="G45" s="266"/>
      <c r="H45" s="266"/>
      <c r="I45" s="292"/>
      <c r="J45" s="126"/>
      <c r="K45" s="126"/>
      <c r="L45" s="126"/>
      <c r="M45" s="22">
        <v>5.1100000000000003</v>
      </c>
      <c r="N45" s="22">
        <v>2.23</v>
      </c>
      <c r="O45" s="22">
        <v>2.23</v>
      </c>
      <c r="P45" s="125">
        <v>0</v>
      </c>
      <c r="Q45" s="163">
        <f>SUM(M45:P45)</f>
        <v>9.57</v>
      </c>
    </row>
    <row r="46" spans="1:17" ht="12" hidden="1" customHeight="1" x14ac:dyDescent="0.25">
      <c r="A46" s="288"/>
      <c r="B46" s="289" t="s">
        <v>182</v>
      </c>
      <c r="C46" s="290" t="s">
        <v>16</v>
      </c>
      <c r="D46" s="291">
        <v>437.52</v>
      </c>
      <c r="E46" s="291"/>
      <c r="F46" s="291"/>
      <c r="G46" s="266"/>
      <c r="H46" s="266"/>
      <c r="I46" s="292"/>
      <c r="J46" s="126"/>
      <c r="K46" s="126"/>
      <c r="L46" s="126"/>
      <c r="M46" s="165">
        <f>M45/Q45</f>
        <v>0.53396029258098221</v>
      </c>
      <c r="N46" s="165">
        <f>N45/Q45</f>
        <v>0.23301985370950887</v>
      </c>
      <c r="O46" s="165">
        <f>O45/Q45</f>
        <v>0.23301985370950887</v>
      </c>
      <c r="P46" s="125">
        <v>0</v>
      </c>
      <c r="Q46" s="164">
        <f t="shared" ref="Q46:Q47" si="2">SUM(M46:P46)</f>
        <v>0.99999999999999989</v>
      </c>
    </row>
    <row r="47" spans="1:17" ht="17.100000000000001" hidden="1" customHeight="1" x14ac:dyDescent="0.25">
      <c r="A47" s="288"/>
      <c r="B47" s="289" t="s">
        <v>183</v>
      </c>
      <c r="C47" s="290" t="s">
        <v>16</v>
      </c>
      <c r="D47" s="291">
        <v>287.16000000000003</v>
      </c>
      <c r="E47" s="291"/>
      <c r="F47" s="291"/>
      <c r="G47" s="266"/>
      <c r="H47" s="266"/>
      <c r="I47" s="292"/>
      <c r="J47" s="126"/>
      <c r="K47" s="126"/>
      <c r="L47" s="126"/>
      <c r="P47" s="125">
        <v>0</v>
      </c>
      <c r="Q47" s="163">
        <f t="shared" si="2"/>
        <v>0</v>
      </c>
    </row>
    <row r="48" spans="1:17" ht="17.100000000000001" hidden="1" customHeight="1" x14ac:dyDescent="0.25">
      <c r="A48" s="288"/>
      <c r="B48" s="289" t="s">
        <v>181</v>
      </c>
      <c r="C48" s="290"/>
      <c r="D48" s="291">
        <f>SUM(D46:D47)</f>
        <v>724.68000000000006</v>
      </c>
      <c r="E48" s="291"/>
      <c r="F48" s="291"/>
      <c r="G48" s="266"/>
      <c r="H48" s="266"/>
      <c r="I48" s="292"/>
      <c r="J48" s="126"/>
      <c r="K48" s="126"/>
      <c r="L48" s="126"/>
      <c r="P48" s="125"/>
      <c r="Q48" s="163"/>
    </row>
    <row r="49" spans="1:19" ht="23.65" hidden="1" customHeight="1" x14ac:dyDescent="0.25">
      <c r="A49" s="288"/>
      <c r="B49" s="295" t="s">
        <v>184</v>
      </c>
      <c r="C49" s="290"/>
      <c r="D49" s="291"/>
      <c r="E49" s="291"/>
      <c r="F49" s="291"/>
      <c r="G49" s="266"/>
      <c r="H49" s="266"/>
      <c r="I49" s="292"/>
      <c r="J49" s="126"/>
      <c r="K49" s="126"/>
      <c r="L49" s="126"/>
      <c r="P49" s="125"/>
      <c r="Q49" s="163"/>
    </row>
    <row r="50" spans="1:19" ht="80.099999999999994" hidden="1" customHeight="1" x14ac:dyDescent="0.25">
      <c r="A50" s="288"/>
      <c r="B50" s="289" t="s">
        <v>186</v>
      </c>
      <c r="C50" s="290" t="s">
        <v>16</v>
      </c>
      <c r="D50" s="291">
        <v>25.319999999999936</v>
      </c>
      <c r="E50" s="291"/>
      <c r="F50" s="291"/>
      <c r="G50" s="266"/>
      <c r="H50" s="266"/>
      <c r="I50" s="292"/>
      <c r="J50" s="126"/>
      <c r="K50" s="126"/>
      <c r="L50" s="126"/>
      <c r="P50" s="125"/>
      <c r="Q50" s="163"/>
    </row>
    <row r="51" spans="1:19" ht="24" hidden="1" customHeight="1" x14ac:dyDescent="0.25">
      <c r="A51" s="288"/>
      <c r="B51" s="296" t="s">
        <v>176</v>
      </c>
      <c r="C51" s="297" t="s">
        <v>16</v>
      </c>
      <c r="D51" s="266">
        <f>D50+D48</f>
        <v>750</v>
      </c>
      <c r="E51" s="298"/>
      <c r="F51" s="299">
        <f>D51-E51</f>
        <v>750</v>
      </c>
      <c r="G51" s="291">
        <f>D51</f>
        <v>750</v>
      </c>
      <c r="H51" s="266"/>
      <c r="I51" s="268"/>
      <c r="J51" s="126"/>
      <c r="K51" s="126"/>
      <c r="L51" s="126"/>
      <c r="M51" s="109">
        <v>4.55</v>
      </c>
      <c r="N51" s="109">
        <v>1.99</v>
      </c>
      <c r="O51" s="109">
        <v>1.99</v>
      </c>
      <c r="P51" s="125">
        <v>0</v>
      </c>
      <c r="Q51" s="163">
        <f t="shared" ref="Q51" si="3">SUM(M51:P51)</f>
        <v>8.5299999999999994</v>
      </c>
      <c r="R51" s="166"/>
      <c r="S51" s="163"/>
    </row>
    <row r="52" spans="1:19" ht="12" hidden="1" customHeight="1" x14ac:dyDescent="0.25">
      <c r="A52" s="288"/>
      <c r="B52" s="300" t="s">
        <v>209</v>
      </c>
      <c r="C52" s="297"/>
      <c r="D52" s="291">
        <v>0</v>
      </c>
      <c r="E52" s="291"/>
      <c r="F52" s="291">
        <v>0</v>
      </c>
      <c r="G52" s="291">
        <f>E52+F52</f>
        <v>0</v>
      </c>
      <c r="H52" s="266"/>
      <c r="I52" s="292"/>
      <c r="J52" s="126"/>
      <c r="K52" s="126"/>
      <c r="L52" s="126"/>
      <c r="P52" s="125"/>
      <c r="Q52" s="163"/>
      <c r="R52" s="166"/>
      <c r="S52" s="163"/>
    </row>
    <row r="53" spans="1:19" ht="44.45" hidden="1" customHeight="1" x14ac:dyDescent="0.25">
      <c r="A53" s="288"/>
      <c r="B53" s="300" t="s">
        <v>175</v>
      </c>
      <c r="C53" s="297"/>
      <c r="D53" s="301">
        <f>D51-D52</f>
        <v>750</v>
      </c>
      <c r="E53" s="301"/>
      <c r="F53" s="301">
        <f t="shared" ref="F53:G53" si="4">F51-F52</f>
        <v>750</v>
      </c>
      <c r="G53" s="301">
        <f t="shared" si="4"/>
        <v>750</v>
      </c>
      <c r="H53" s="302"/>
      <c r="I53" s="303">
        <f>G53-H53</f>
        <v>750</v>
      </c>
      <c r="J53" s="126"/>
      <c r="K53" s="126"/>
      <c r="L53" s="126"/>
      <c r="P53" s="125"/>
      <c r="Q53" s="163"/>
      <c r="R53" s="166"/>
      <c r="S53" s="163"/>
    </row>
    <row r="54" spans="1:19" ht="172.15" hidden="1" customHeight="1" x14ac:dyDescent="0.2">
      <c r="A54" s="264"/>
      <c r="B54" s="624" t="s">
        <v>235</v>
      </c>
      <c r="C54" s="625"/>
      <c r="D54" s="625"/>
      <c r="E54" s="625"/>
      <c r="F54" s="625"/>
      <c r="G54" s="625"/>
      <c r="H54" s="266"/>
      <c r="I54" s="292"/>
      <c r="J54" s="126"/>
      <c r="K54" s="128"/>
      <c r="L54" s="128"/>
    </row>
    <row r="55" spans="1:19" ht="15.75" hidden="1" x14ac:dyDescent="0.25">
      <c r="A55" s="272"/>
      <c r="B55" s="273" t="s">
        <v>123</v>
      </c>
      <c r="C55" s="275"/>
      <c r="D55" s="275"/>
      <c r="E55" s="275"/>
      <c r="F55" s="275"/>
      <c r="G55" s="276"/>
      <c r="H55" s="276">
        <f>H53</f>
        <v>0</v>
      </c>
      <c r="I55" s="277">
        <f>H55</f>
        <v>0</v>
      </c>
      <c r="J55" s="126"/>
      <c r="K55" s="128"/>
      <c r="L55" s="128"/>
    </row>
    <row r="56" spans="1:19" s="251" customFormat="1" ht="15.75" x14ac:dyDescent="0.25">
      <c r="A56" s="304"/>
      <c r="B56" s="305"/>
      <c r="C56" s="306"/>
      <c r="D56" s="306"/>
      <c r="E56" s="306"/>
      <c r="F56" s="306"/>
      <c r="G56" s="307"/>
      <c r="H56" s="307"/>
      <c r="I56" s="307"/>
      <c r="J56" s="249"/>
      <c r="K56" s="250"/>
      <c r="L56" s="250"/>
    </row>
    <row r="57" spans="1:19" ht="15.75" x14ac:dyDescent="0.25">
      <c r="A57" s="308" t="e">
        <f>#REF!</f>
        <v>#REF!</v>
      </c>
      <c r="B57" s="309" t="e">
        <f>#REF!</f>
        <v>#REF!</v>
      </c>
      <c r="C57" s="310"/>
      <c r="D57" s="310"/>
      <c r="E57" s="310"/>
      <c r="F57" s="310"/>
      <c r="G57" s="310"/>
      <c r="H57" s="310"/>
      <c r="I57" s="311"/>
      <c r="J57" s="116"/>
      <c r="K57" s="116"/>
      <c r="L57" s="116"/>
    </row>
    <row r="58" spans="1:19" ht="7.15" hidden="1" customHeight="1" x14ac:dyDescent="0.25">
      <c r="A58" s="312"/>
      <c r="B58" s="286"/>
      <c r="C58" s="282"/>
      <c r="D58" s="313"/>
      <c r="E58" s="282"/>
      <c r="F58" s="282"/>
      <c r="G58" s="282"/>
      <c r="H58" s="282"/>
      <c r="I58" s="282"/>
      <c r="J58" s="190"/>
      <c r="K58" s="190"/>
      <c r="L58" s="190"/>
      <c r="M58" s="190"/>
      <c r="N58" s="190"/>
      <c r="O58" s="190"/>
      <c r="P58" s="190"/>
      <c r="Q58" s="190"/>
      <c r="R58" s="190"/>
    </row>
    <row r="59" spans="1:19" ht="48" hidden="1" customHeight="1" x14ac:dyDescent="0.25">
      <c r="A59" s="257" t="e">
        <f>#REF!</f>
        <v>#REF!</v>
      </c>
      <c r="B59" s="269" t="e">
        <f>#REF!</f>
        <v>#REF!</v>
      </c>
      <c r="C59" s="270" t="e">
        <f>#REF!</f>
        <v>#REF!</v>
      </c>
      <c r="D59" s="260" t="s">
        <v>249</v>
      </c>
      <c r="E59" s="313"/>
      <c r="F59" s="282"/>
      <c r="G59" s="260" t="s">
        <v>143</v>
      </c>
      <c r="H59" s="262">
        <f>H65</f>
        <v>0</v>
      </c>
      <c r="I59" s="260">
        <f>I65</f>
        <v>724.68000000000006</v>
      </c>
      <c r="J59" s="126"/>
      <c r="K59" s="128"/>
      <c r="L59" s="128"/>
    </row>
    <row r="60" spans="1:19" s="251" customFormat="1" ht="15.75" hidden="1" x14ac:dyDescent="0.25">
      <c r="A60" s="257"/>
      <c r="B60" s="269"/>
      <c r="C60" s="270" t="e">
        <f>#REF!</f>
        <v>#REF!</v>
      </c>
      <c r="D60" s="270" t="e">
        <f>#REF!</f>
        <v>#REF!</v>
      </c>
      <c r="E60" s="261"/>
      <c r="F60" s="261"/>
      <c r="G60" s="265"/>
      <c r="H60" s="271"/>
      <c r="I60" s="263"/>
      <c r="J60" s="249"/>
      <c r="K60" s="250"/>
      <c r="L60" s="250"/>
    </row>
    <row r="61" spans="1:19" s="251" customFormat="1" ht="30.75" hidden="1" x14ac:dyDescent="0.25">
      <c r="A61" s="257"/>
      <c r="B61" s="284" t="s">
        <v>236</v>
      </c>
      <c r="C61" s="270"/>
      <c r="D61" s="315"/>
      <c r="E61" s="261"/>
      <c r="F61" s="261"/>
      <c r="G61" s="261"/>
      <c r="H61" s="278"/>
      <c r="I61" s="316"/>
      <c r="J61" s="249"/>
      <c r="K61" s="250"/>
      <c r="L61" s="250"/>
    </row>
    <row r="62" spans="1:19" s="251" customFormat="1" ht="15.75" hidden="1" x14ac:dyDescent="0.25">
      <c r="A62" s="257"/>
      <c r="B62" s="284" t="s">
        <v>201</v>
      </c>
      <c r="C62" s="270" t="e">
        <f>#REF!</f>
        <v>#REF!</v>
      </c>
      <c r="D62" s="315">
        <v>437.52</v>
      </c>
      <c r="E62" s="261"/>
      <c r="F62" s="261"/>
      <c r="G62" s="261">
        <f>D62</f>
        <v>437.52</v>
      </c>
      <c r="H62" s="278"/>
      <c r="I62" s="316">
        <f>G62</f>
        <v>437.52</v>
      </c>
      <c r="J62" s="249"/>
      <c r="K62" s="250"/>
      <c r="L62" s="250"/>
    </row>
    <row r="63" spans="1:19" s="251" customFormat="1" ht="15.75" hidden="1" x14ac:dyDescent="0.25">
      <c r="A63" s="257"/>
      <c r="B63" s="284" t="s">
        <v>202</v>
      </c>
      <c r="C63" s="270" t="e">
        <f>#REF!</f>
        <v>#REF!</v>
      </c>
      <c r="D63" s="315">
        <v>287.16000000000003</v>
      </c>
      <c r="E63" s="261"/>
      <c r="F63" s="261"/>
      <c r="G63" s="261">
        <f>D63</f>
        <v>287.16000000000003</v>
      </c>
      <c r="H63" s="278"/>
      <c r="I63" s="316">
        <f>G63</f>
        <v>287.16000000000003</v>
      </c>
      <c r="J63" s="249"/>
      <c r="K63" s="250"/>
      <c r="L63" s="250"/>
    </row>
    <row r="64" spans="1:19" s="251" customFormat="1" ht="49.9" hidden="1" customHeight="1" x14ac:dyDescent="0.25">
      <c r="A64" s="257"/>
      <c r="B64" s="317" t="s">
        <v>203</v>
      </c>
      <c r="C64" s="270"/>
      <c r="D64" s="315"/>
      <c r="E64" s="261"/>
      <c r="F64" s="261"/>
      <c r="G64" s="261"/>
      <c r="H64" s="278"/>
      <c r="I64" s="316"/>
      <c r="J64" s="249"/>
      <c r="K64" s="250"/>
      <c r="L64" s="250"/>
    </row>
    <row r="65" spans="1:18" s="251" customFormat="1" ht="15.75" hidden="1" x14ac:dyDescent="0.25">
      <c r="A65" s="272"/>
      <c r="B65" s="273" t="s">
        <v>123</v>
      </c>
      <c r="C65" s="275"/>
      <c r="D65" s="275"/>
      <c r="E65" s="275"/>
      <c r="F65" s="275"/>
      <c r="G65" s="276"/>
      <c r="H65" s="276">
        <f t="shared" ref="H65:R65" si="5">SUM(H62:H64)</f>
        <v>0</v>
      </c>
      <c r="I65" s="276">
        <f t="shared" si="5"/>
        <v>724.68000000000006</v>
      </c>
      <c r="J65" s="133">
        <f t="shared" si="5"/>
        <v>0</v>
      </c>
      <c r="K65" s="133">
        <f t="shared" si="5"/>
        <v>0</v>
      </c>
      <c r="L65" s="133">
        <f t="shared" si="5"/>
        <v>0</v>
      </c>
      <c r="M65" s="133">
        <f t="shared" si="5"/>
        <v>0</v>
      </c>
      <c r="N65" s="133">
        <f t="shared" si="5"/>
        <v>0</v>
      </c>
      <c r="O65" s="133">
        <f t="shared" si="5"/>
        <v>0</v>
      </c>
      <c r="P65" s="133">
        <f t="shared" si="5"/>
        <v>0</v>
      </c>
      <c r="Q65" s="133">
        <f t="shared" si="5"/>
        <v>0</v>
      </c>
      <c r="R65" s="133">
        <f t="shared" si="5"/>
        <v>0</v>
      </c>
    </row>
    <row r="66" spans="1:18" ht="15.75" x14ac:dyDescent="0.25">
      <c r="A66" s="257"/>
      <c r="B66" s="269"/>
      <c r="C66" s="270"/>
      <c r="D66" s="149"/>
      <c r="E66" s="281"/>
      <c r="F66" s="281"/>
      <c r="G66" s="282"/>
      <c r="H66" s="282"/>
      <c r="I66" s="283"/>
      <c r="J66" s="126"/>
      <c r="K66" s="128"/>
      <c r="L66" s="128"/>
    </row>
    <row r="67" spans="1:18" ht="47.25" x14ac:dyDescent="0.25">
      <c r="A67" s="257" t="e">
        <f>#REF!</f>
        <v>#REF!</v>
      </c>
      <c r="B67" s="269" t="e">
        <f>#REF!</f>
        <v>#REF!</v>
      </c>
      <c r="C67" s="270" t="e">
        <f>#REF!</f>
        <v>#REF!</v>
      </c>
      <c r="D67" s="313" t="s">
        <v>200</v>
      </c>
      <c r="E67" s="282"/>
      <c r="F67" s="282"/>
      <c r="G67" s="260" t="s">
        <v>143</v>
      </c>
      <c r="H67" s="262">
        <f>H78</f>
        <v>750</v>
      </c>
      <c r="I67" s="260">
        <f>I78</f>
        <v>724.68000000000006</v>
      </c>
      <c r="J67" s="126"/>
      <c r="K67" s="128"/>
      <c r="L67" s="128"/>
    </row>
    <row r="68" spans="1:18" s="251" customFormat="1" ht="30.75" x14ac:dyDescent="0.25">
      <c r="A68" s="257"/>
      <c r="B68" s="269" t="s">
        <v>285</v>
      </c>
      <c r="C68" s="270" t="s">
        <v>35</v>
      </c>
      <c r="D68" s="270" t="e">
        <f>#REF!</f>
        <v>#REF!</v>
      </c>
      <c r="E68" s="261"/>
      <c r="F68" s="261"/>
      <c r="G68" s="265"/>
      <c r="H68" s="271"/>
      <c r="I68" s="263"/>
      <c r="J68" s="249"/>
      <c r="K68" s="250"/>
      <c r="L68" s="250"/>
    </row>
    <row r="69" spans="1:18" s="251" customFormat="1" ht="15.75" x14ac:dyDescent="0.25">
      <c r="A69" s="257"/>
      <c r="B69" s="318" t="s">
        <v>210</v>
      </c>
      <c r="C69" s="270"/>
      <c r="D69" s="315"/>
      <c r="E69" s="261"/>
      <c r="F69" s="261"/>
      <c r="G69" s="261"/>
      <c r="H69" s="271"/>
      <c r="I69" s="316"/>
      <c r="J69" s="249"/>
      <c r="K69" s="250"/>
      <c r="L69" s="250"/>
    </row>
    <row r="70" spans="1:18" s="251" customFormat="1" ht="15.75" x14ac:dyDescent="0.25">
      <c r="A70" s="257"/>
      <c r="B70" s="318" t="s">
        <v>216</v>
      </c>
      <c r="C70" s="270" t="s">
        <v>35</v>
      </c>
      <c r="D70" s="315">
        <v>437.52</v>
      </c>
      <c r="E70" s="319"/>
      <c r="F70" s="319"/>
      <c r="G70" s="261">
        <f>D70</f>
        <v>437.52</v>
      </c>
      <c r="H70" s="265">
        <f>G70</f>
        <v>437.52</v>
      </c>
      <c r="I70" s="316">
        <f>H70</f>
        <v>437.52</v>
      </c>
      <c r="J70" s="249"/>
      <c r="K70" s="250"/>
      <c r="L70" s="250"/>
    </row>
    <row r="71" spans="1:18" s="251" customFormat="1" ht="223.15" customHeight="1" x14ac:dyDescent="0.25">
      <c r="A71" s="257"/>
      <c r="B71" s="320" t="s">
        <v>214</v>
      </c>
      <c r="C71" s="270"/>
      <c r="D71" s="315"/>
      <c r="E71" s="319"/>
      <c r="F71" s="319"/>
      <c r="G71" s="261">
        <f t="shared" ref="G71:G75" si="6">D71</f>
        <v>0</v>
      </c>
      <c r="H71" s="265">
        <f t="shared" ref="H71:H75" si="7">G71</f>
        <v>0</v>
      </c>
      <c r="I71" s="316"/>
      <c r="J71" s="249"/>
      <c r="K71" s="250"/>
      <c r="L71" s="250"/>
    </row>
    <row r="72" spans="1:18" s="251" customFormat="1" ht="38.450000000000003" customHeight="1" x14ac:dyDescent="0.25">
      <c r="A72" s="257"/>
      <c r="B72" s="318" t="s">
        <v>212</v>
      </c>
      <c r="C72" s="270" t="s">
        <v>35</v>
      </c>
      <c r="D72" s="315">
        <v>287.16000000000003</v>
      </c>
      <c r="E72" s="319"/>
      <c r="F72" s="319"/>
      <c r="G72" s="261">
        <f t="shared" si="6"/>
        <v>287.16000000000003</v>
      </c>
      <c r="H72" s="265">
        <f t="shared" si="7"/>
        <v>287.16000000000003</v>
      </c>
      <c r="I72" s="316">
        <f>H72</f>
        <v>287.16000000000003</v>
      </c>
      <c r="J72" s="249"/>
      <c r="K72" s="250"/>
      <c r="L72" s="250"/>
    </row>
    <row r="73" spans="1:18" s="251" customFormat="1" ht="313.89999999999998" customHeight="1" x14ac:dyDescent="0.25">
      <c r="A73" s="257"/>
      <c r="B73" s="320" t="s">
        <v>276</v>
      </c>
      <c r="C73" s="270"/>
      <c r="D73" s="315"/>
      <c r="E73" s="319"/>
      <c r="F73" s="319"/>
      <c r="G73" s="261">
        <f t="shared" si="6"/>
        <v>0</v>
      </c>
      <c r="H73" s="265">
        <f t="shared" si="7"/>
        <v>0</v>
      </c>
      <c r="I73" s="316"/>
      <c r="J73" s="249"/>
      <c r="K73" s="250"/>
      <c r="L73" s="250"/>
    </row>
    <row r="74" spans="1:18" s="251" customFormat="1" ht="60" customHeight="1" x14ac:dyDescent="0.25">
      <c r="A74" s="257"/>
      <c r="B74" s="321" t="s">
        <v>277</v>
      </c>
      <c r="C74" s="270"/>
      <c r="D74" s="315">
        <v>25.319999999999936</v>
      </c>
      <c r="E74" s="319"/>
      <c r="F74" s="319"/>
      <c r="G74" s="261">
        <f t="shared" si="6"/>
        <v>25.319999999999936</v>
      </c>
      <c r="H74" s="265">
        <f t="shared" si="7"/>
        <v>25.319999999999936</v>
      </c>
      <c r="I74" s="316"/>
      <c r="J74" s="249"/>
      <c r="K74" s="250"/>
      <c r="L74" s="250"/>
    </row>
    <row r="75" spans="1:18" s="251" customFormat="1" ht="111.6" customHeight="1" x14ac:dyDescent="0.25">
      <c r="A75" s="257"/>
      <c r="B75" s="322" t="s">
        <v>211</v>
      </c>
      <c r="C75" s="270" t="s">
        <v>16</v>
      </c>
      <c r="D75" s="315"/>
      <c r="E75" s="319"/>
      <c r="F75" s="319"/>
      <c r="G75" s="261">
        <f t="shared" si="6"/>
        <v>0</v>
      </c>
      <c r="H75" s="265">
        <f t="shared" si="7"/>
        <v>0</v>
      </c>
      <c r="I75" s="316"/>
      <c r="J75" s="249"/>
      <c r="K75" s="250"/>
      <c r="L75" s="250"/>
    </row>
    <row r="76" spans="1:18" s="251" customFormat="1" ht="15.75" x14ac:dyDescent="0.25">
      <c r="A76" s="257"/>
      <c r="B76" s="322" t="s">
        <v>213</v>
      </c>
      <c r="C76" s="270"/>
      <c r="D76" s="323">
        <f>SUM(D70:D75)</f>
        <v>750</v>
      </c>
      <c r="E76" s="319"/>
      <c r="F76" s="319"/>
      <c r="G76" s="278">
        <f>SUM(G70:G75)</f>
        <v>750</v>
      </c>
      <c r="H76" s="278">
        <f>SUM(H70:H75)</f>
        <v>750</v>
      </c>
      <c r="I76" s="316"/>
      <c r="J76" s="249"/>
      <c r="K76" s="250"/>
      <c r="L76" s="250"/>
    </row>
    <row r="77" spans="1:18" ht="105" x14ac:dyDescent="0.25">
      <c r="A77" s="257"/>
      <c r="B77" s="317" t="s">
        <v>215</v>
      </c>
      <c r="C77" s="270"/>
      <c r="D77" s="149"/>
      <c r="E77" s="281"/>
      <c r="F77" s="281"/>
      <c r="G77" s="282"/>
      <c r="H77" s="282"/>
      <c r="I77" s="283"/>
      <c r="J77" s="126"/>
      <c r="K77" s="128"/>
      <c r="L77" s="128"/>
    </row>
    <row r="78" spans="1:18" s="251" customFormat="1" ht="15.75" x14ac:dyDescent="0.25">
      <c r="A78" s="272"/>
      <c r="B78" s="273" t="s">
        <v>123</v>
      </c>
      <c r="C78" s="275"/>
      <c r="D78" s="275"/>
      <c r="E78" s="275"/>
      <c r="F78" s="275"/>
      <c r="G78" s="276"/>
      <c r="H78" s="276">
        <f>SUM(H70:H75)</f>
        <v>750</v>
      </c>
      <c r="I78" s="276">
        <f t="shared" ref="I78:R78" si="8">SUM(I68:I77)</f>
        <v>724.68000000000006</v>
      </c>
      <c r="J78" s="133">
        <f t="shared" si="8"/>
        <v>0</v>
      </c>
      <c r="K78" s="133">
        <f t="shared" si="8"/>
        <v>0</v>
      </c>
      <c r="L78" s="133">
        <f t="shared" si="8"/>
        <v>0</v>
      </c>
      <c r="M78" s="133">
        <f t="shared" si="8"/>
        <v>0</v>
      </c>
      <c r="N78" s="133">
        <f t="shared" si="8"/>
        <v>0</v>
      </c>
      <c r="O78" s="133">
        <f t="shared" si="8"/>
        <v>0</v>
      </c>
      <c r="P78" s="133">
        <f t="shared" si="8"/>
        <v>0</v>
      </c>
      <c r="Q78" s="133">
        <f t="shared" si="8"/>
        <v>0</v>
      </c>
      <c r="R78" s="133">
        <f t="shared" si="8"/>
        <v>0</v>
      </c>
    </row>
    <row r="79" spans="1:18" s="251" customFormat="1" ht="15.75" x14ac:dyDescent="0.25">
      <c r="A79" s="285"/>
      <c r="B79" s="286"/>
      <c r="C79" s="281"/>
      <c r="D79" s="281"/>
      <c r="E79" s="281"/>
      <c r="F79" s="281"/>
      <c r="G79" s="282"/>
      <c r="H79" s="282"/>
      <c r="I79" s="282"/>
      <c r="J79" s="249"/>
      <c r="K79" s="250"/>
      <c r="L79" s="250"/>
    </row>
    <row r="80" spans="1:18" ht="44.45" hidden="1" customHeight="1" x14ac:dyDescent="0.25">
      <c r="A80" s="257" t="e">
        <f>#REF!</f>
        <v>#REF!</v>
      </c>
      <c r="B80" s="269" t="e">
        <f>#REF!</f>
        <v>#REF!</v>
      </c>
      <c r="C80" s="270" t="e">
        <f>#REF!</f>
        <v>#REF!</v>
      </c>
      <c r="D80" s="260" t="s">
        <v>249</v>
      </c>
      <c r="E80" s="282"/>
      <c r="F80" s="282"/>
      <c r="G80" s="260" t="s">
        <v>143</v>
      </c>
      <c r="H80" s="262">
        <f>H88</f>
        <v>0</v>
      </c>
      <c r="I80" s="260">
        <f>I88</f>
        <v>724.68000000000006</v>
      </c>
      <c r="J80" s="126"/>
      <c r="K80" s="128"/>
      <c r="L80" s="128"/>
    </row>
    <row r="81" spans="1:12" s="251" customFormat="1" ht="15.75" hidden="1" x14ac:dyDescent="0.25">
      <c r="A81" s="257"/>
      <c r="B81" s="284"/>
      <c r="C81" s="270" t="s">
        <v>35</v>
      </c>
      <c r="D81" s="270" t="e">
        <f>#REF!</f>
        <v>#REF!</v>
      </c>
      <c r="E81" s="261"/>
      <c r="F81" s="261"/>
      <c r="G81" s="265"/>
      <c r="H81" s="271"/>
      <c r="I81" s="263"/>
      <c r="J81" s="249"/>
      <c r="K81" s="250"/>
      <c r="L81" s="250"/>
    </row>
    <row r="82" spans="1:12" s="251" customFormat="1" ht="30.75" hidden="1" x14ac:dyDescent="0.25">
      <c r="A82" s="257"/>
      <c r="B82" s="284" t="s">
        <v>238</v>
      </c>
      <c r="C82" s="270"/>
      <c r="D82" s="315"/>
      <c r="E82" s="261"/>
      <c r="F82" s="261"/>
      <c r="G82" s="261"/>
      <c r="H82" s="278"/>
      <c r="I82" s="316"/>
      <c r="J82" s="249"/>
      <c r="K82" s="250"/>
      <c r="L82" s="250"/>
    </row>
    <row r="83" spans="1:12" s="251" customFormat="1" ht="15.75" hidden="1" x14ac:dyDescent="0.25">
      <c r="A83" s="257"/>
      <c r="B83" s="284" t="s">
        <v>201</v>
      </c>
      <c r="C83" s="270" t="e">
        <f>#REF!</f>
        <v>#REF!</v>
      </c>
      <c r="D83" s="315">
        <v>437.52</v>
      </c>
      <c r="E83" s="261"/>
      <c r="F83" s="261"/>
      <c r="G83" s="261">
        <f>D83</f>
        <v>437.52</v>
      </c>
      <c r="H83" s="278"/>
      <c r="I83" s="316">
        <f>G83</f>
        <v>437.52</v>
      </c>
      <c r="J83" s="249"/>
      <c r="K83" s="250"/>
      <c r="L83" s="250"/>
    </row>
    <row r="84" spans="1:12" s="251" customFormat="1" ht="15.75" hidden="1" x14ac:dyDescent="0.25">
      <c r="A84" s="257"/>
      <c r="B84" s="284" t="s">
        <v>202</v>
      </c>
      <c r="C84" s="270" t="e">
        <f>#REF!</f>
        <v>#REF!</v>
      </c>
      <c r="D84" s="315">
        <v>287.16000000000003</v>
      </c>
      <c r="E84" s="261"/>
      <c r="F84" s="261"/>
      <c r="G84" s="261">
        <f>D84</f>
        <v>287.16000000000003</v>
      </c>
      <c r="H84" s="278"/>
      <c r="I84" s="316">
        <f>G84</f>
        <v>287.16000000000003</v>
      </c>
      <c r="J84" s="249"/>
      <c r="K84" s="250"/>
      <c r="L84" s="250"/>
    </row>
    <row r="85" spans="1:12" s="251" customFormat="1" ht="55.9" hidden="1" customHeight="1" x14ac:dyDescent="0.25">
      <c r="A85" s="324"/>
      <c r="B85" s="317" t="s">
        <v>203</v>
      </c>
      <c r="C85" s="325"/>
      <c r="D85" s="325"/>
      <c r="E85" s="319"/>
      <c r="F85" s="319"/>
      <c r="G85" s="319"/>
      <c r="H85" s="326"/>
      <c r="I85" s="327"/>
      <c r="J85" s="249"/>
      <c r="K85" s="250"/>
      <c r="L85" s="250"/>
    </row>
    <row r="86" spans="1:12" s="251" customFormat="1" ht="15.75" hidden="1" x14ac:dyDescent="0.25">
      <c r="A86" s="272"/>
      <c r="B86" s="273" t="s">
        <v>123</v>
      </c>
      <c r="C86" s="275"/>
      <c r="D86" s="275"/>
      <c r="E86" s="275"/>
      <c r="F86" s="275"/>
      <c r="G86" s="276"/>
      <c r="H86" s="276">
        <f>SUM(H83:H85)</f>
        <v>0</v>
      </c>
      <c r="I86" s="276">
        <f>SUM(I83:I85)</f>
        <v>724.68000000000006</v>
      </c>
      <c r="J86" s="249"/>
      <c r="K86" s="250"/>
      <c r="L86" s="250"/>
    </row>
    <row r="87" spans="1:12" s="251" customFormat="1" ht="15.75" hidden="1" x14ac:dyDescent="0.25">
      <c r="A87" s="285"/>
      <c r="B87" s="286"/>
      <c r="C87" s="281"/>
      <c r="D87" s="281"/>
      <c r="E87" s="281"/>
      <c r="F87" s="281"/>
      <c r="G87" s="282"/>
      <c r="H87" s="282"/>
      <c r="I87" s="282"/>
      <c r="J87" s="249"/>
      <c r="K87" s="250"/>
      <c r="L87" s="250"/>
    </row>
    <row r="88" spans="1:12" ht="44.45" hidden="1" customHeight="1" x14ac:dyDescent="0.25">
      <c r="A88" s="257" t="e">
        <f>#REF!</f>
        <v>#REF!</v>
      </c>
      <c r="B88" s="269" t="e">
        <f>#REF!</f>
        <v>#REF!</v>
      </c>
      <c r="C88" s="270" t="e">
        <f>#REF!</f>
        <v>#REF!</v>
      </c>
      <c r="D88" s="260" t="s">
        <v>249</v>
      </c>
      <c r="E88" s="282"/>
      <c r="F88" s="282"/>
      <c r="G88" s="260" t="s">
        <v>143</v>
      </c>
      <c r="H88" s="262">
        <f>H94</f>
        <v>0</v>
      </c>
      <c r="I88" s="260">
        <f>I94:R94</f>
        <v>724.68000000000006</v>
      </c>
      <c r="J88" s="126"/>
      <c r="K88" s="128"/>
      <c r="L88" s="128"/>
    </row>
    <row r="89" spans="1:12" s="251" customFormat="1" ht="15.75" hidden="1" x14ac:dyDescent="0.25">
      <c r="A89" s="257"/>
      <c r="B89" s="284"/>
      <c r="C89" s="270" t="s">
        <v>35</v>
      </c>
      <c r="D89" s="270" t="e">
        <f>#REF!</f>
        <v>#REF!</v>
      </c>
      <c r="E89" s="261"/>
      <c r="F89" s="261"/>
      <c r="G89" s="265"/>
      <c r="H89" s="271"/>
      <c r="I89" s="263"/>
      <c r="J89" s="249"/>
      <c r="K89" s="250"/>
      <c r="L89" s="250"/>
    </row>
    <row r="90" spans="1:12" s="251" customFormat="1" ht="30.75" hidden="1" x14ac:dyDescent="0.25">
      <c r="A90" s="257"/>
      <c r="B90" s="284" t="s">
        <v>239</v>
      </c>
      <c r="C90" s="270"/>
      <c r="D90" s="315"/>
      <c r="E90" s="261"/>
      <c r="F90" s="261"/>
      <c r="G90" s="261"/>
      <c r="H90" s="278"/>
      <c r="I90" s="316"/>
      <c r="J90" s="249"/>
      <c r="K90" s="250"/>
      <c r="L90" s="250"/>
    </row>
    <row r="91" spans="1:12" s="251" customFormat="1" ht="16.149999999999999" hidden="1" customHeight="1" x14ac:dyDescent="0.25">
      <c r="A91" s="257"/>
      <c r="B91" s="284" t="s">
        <v>201</v>
      </c>
      <c r="C91" s="270" t="s">
        <v>35</v>
      </c>
      <c r="D91" s="315">
        <v>437.52</v>
      </c>
      <c r="E91" s="261"/>
      <c r="F91" s="261"/>
      <c r="G91" s="261">
        <f>D91</f>
        <v>437.52</v>
      </c>
      <c r="H91" s="278"/>
      <c r="I91" s="316">
        <f>G91</f>
        <v>437.52</v>
      </c>
      <c r="J91" s="249"/>
      <c r="K91" s="250"/>
      <c r="L91" s="250"/>
    </row>
    <row r="92" spans="1:12" s="251" customFormat="1" ht="15.75" hidden="1" x14ac:dyDescent="0.25">
      <c r="A92" s="257"/>
      <c r="B92" s="284" t="s">
        <v>202</v>
      </c>
      <c r="C92" s="270" t="s">
        <v>35</v>
      </c>
      <c r="D92" s="315">
        <v>287.16000000000003</v>
      </c>
      <c r="E92" s="261"/>
      <c r="F92" s="261"/>
      <c r="G92" s="261">
        <f>D92</f>
        <v>287.16000000000003</v>
      </c>
      <c r="H92" s="278"/>
      <c r="I92" s="316">
        <f>G92</f>
        <v>287.16000000000003</v>
      </c>
      <c r="J92" s="249"/>
      <c r="K92" s="250"/>
      <c r="L92" s="250"/>
    </row>
    <row r="93" spans="1:12" s="251" customFormat="1" ht="58.15" hidden="1" customHeight="1" x14ac:dyDescent="0.25">
      <c r="A93" s="324"/>
      <c r="B93" s="317" t="s">
        <v>203</v>
      </c>
      <c r="C93" s="325"/>
      <c r="D93" s="325"/>
      <c r="E93" s="319"/>
      <c r="F93" s="319"/>
      <c r="G93" s="319"/>
      <c r="H93" s="326"/>
      <c r="I93" s="327"/>
      <c r="J93" s="249"/>
      <c r="K93" s="250"/>
      <c r="L93" s="250"/>
    </row>
    <row r="94" spans="1:12" s="251" customFormat="1" ht="15.75" hidden="1" x14ac:dyDescent="0.25">
      <c r="A94" s="272"/>
      <c r="B94" s="273" t="s">
        <v>123</v>
      </c>
      <c r="C94" s="275"/>
      <c r="D94" s="275"/>
      <c r="E94" s="275"/>
      <c r="F94" s="275"/>
      <c r="G94" s="276"/>
      <c r="H94" s="276">
        <f>SUM(H91:H93)</f>
        <v>0</v>
      </c>
      <c r="I94" s="276">
        <f>SUM(I91:I93)</f>
        <v>724.68000000000006</v>
      </c>
      <c r="J94" s="249"/>
      <c r="K94" s="250"/>
      <c r="L94" s="250"/>
    </row>
    <row r="95" spans="1:12" ht="15.75" hidden="1" x14ac:dyDescent="0.25">
      <c r="A95" s="257"/>
      <c r="B95" s="269"/>
      <c r="C95" s="270"/>
      <c r="D95" s="149"/>
      <c r="E95" s="281"/>
      <c r="F95" s="281"/>
      <c r="G95" s="282"/>
      <c r="H95" s="282"/>
      <c r="I95" s="283"/>
      <c r="J95" s="126"/>
      <c r="K95" s="128"/>
      <c r="L95" s="128"/>
    </row>
    <row r="96" spans="1:12" ht="47.25" hidden="1" x14ac:dyDescent="0.25">
      <c r="A96" s="257" t="e">
        <f>#REF!</f>
        <v>#REF!</v>
      </c>
      <c r="B96" s="269" t="e">
        <f>#REF!</f>
        <v>#REF!</v>
      </c>
      <c r="C96" s="270" t="e">
        <f>#REF!</f>
        <v>#REF!</v>
      </c>
      <c r="D96" s="260" t="s">
        <v>249</v>
      </c>
      <c r="E96" s="282"/>
      <c r="F96" s="282"/>
      <c r="G96" s="260" t="s">
        <v>143</v>
      </c>
      <c r="H96" s="262">
        <f>H102</f>
        <v>0</v>
      </c>
      <c r="I96" s="260">
        <f>I102:R102</f>
        <v>724.68000000000006</v>
      </c>
      <c r="J96" s="126"/>
      <c r="K96" s="128"/>
      <c r="L96" s="128"/>
    </row>
    <row r="97" spans="1:12" s="251" customFormat="1" ht="15.75" hidden="1" x14ac:dyDescent="0.25">
      <c r="A97" s="257"/>
      <c r="B97" s="284"/>
      <c r="C97" s="270" t="s">
        <v>35</v>
      </c>
      <c r="D97" s="270" t="e">
        <f>#REF!</f>
        <v>#REF!</v>
      </c>
      <c r="E97" s="261"/>
      <c r="F97" s="261"/>
      <c r="G97" s="265"/>
      <c r="H97" s="271"/>
      <c r="I97" s="263"/>
      <c r="J97" s="249"/>
      <c r="K97" s="250"/>
      <c r="L97" s="250"/>
    </row>
    <row r="98" spans="1:12" s="251" customFormat="1" ht="30.75" hidden="1" x14ac:dyDescent="0.25">
      <c r="A98" s="257"/>
      <c r="B98" s="284" t="s">
        <v>273</v>
      </c>
      <c r="C98" s="270"/>
      <c r="D98" s="315"/>
      <c r="E98" s="261"/>
      <c r="F98" s="261"/>
      <c r="G98" s="261"/>
      <c r="H98" s="278"/>
      <c r="I98" s="316"/>
      <c r="J98" s="249"/>
      <c r="K98" s="250"/>
      <c r="L98" s="250"/>
    </row>
    <row r="99" spans="1:12" s="251" customFormat="1" ht="15.75" hidden="1" x14ac:dyDescent="0.25">
      <c r="A99" s="257"/>
      <c r="B99" s="284" t="s">
        <v>201</v>
      </c>
      <c r="C99" s="270" t="s">
        <v>35</v>
      </c>
      <c r="D99" s="315">
        <v>437.52</v>
      </c>
      <c r="E99" s="261"/>
      <c r="F99" s="261"/>
      <c r="G99" s="261">
        <f>D99</f>
        <v>437.52</v>
      </c>
      <c r="H99" s="278"/>
      <c r="I99" s="316">
        <f>G99</f>
        <v>437.52</v>
      </c>
      <c r="J99" s="249"/>
      <c r="K99" s="250"/>
      <c r="L99" s="250"/>
    </row>
    <row r="100" spans="1:12" s="251" customFormat="1" ht="15.75" hidden="1" x14ac:dyDescent="0.25">
      <c r="A100" s="257"/>
      <c r="B100" s="284" t="s">
        <v>202</v>
      </c>
      <c r="C100" s="270" t="s">
        <v>35</v>
      </c>
      <c r="D100" s="315">
        <v>287.16000000000003</v>
      </c>
      <c r="E100" s="261"/>
      <c r="F100" s="261"/>
      <c r="G100" s="261">
        <f>D100</f>
        <v>287.16000000000003</v>
      </c>
      <c r="H100" s="278"/>
      <c r="I100" s="316">
        <f>G100</f>
        <v>287.16000000000003</v>
      </c>
      <c r="J100" s="249"/>
      <c r="K100" s="250"/>
      <c r="L100" s="250"/>
    </row>
    <row r="101" spans="1:12" s="251" customFormat="1" ht="60" hidden="1" x14ac:dyDescent="0.25">
      <c r="A101" s="324"/>
      <c r="B101" s="317" t="s">
        <v>203</v>
      </c>
      <c r="C101" s="325"/>
      <c r="D101" s="325"/>
      <c r="E101" s="319"/>
      <c r="F101" s="319"/>
      <c r="G101" s="319"/>
      <c r="H101" s="326"/>
      <c r="I101" s="327"/>
      <c r="J101" s="249"/>
      <c r="K101" s="250"/>
      <c r="L101" s="250"/>
    </row>
    <row r="102" spans="1:12" s="251" customFormat="1" ht="15.75" hidden="1" x14ac:dyDescent="0.25">
      <c r="A102" s="272"/>
      <c r="B102" s="273" t="s">
        <v>123</v>
      </c>
      <c r="C102" s="275"/>
      <c r="D102" s="275"/>
      <c r="E102" s="275"/>
      <c r="F102" s="275"/>
      <c r="G102" s="276"/>
      <c r="H102" s="276">
        <f>SUM(H99:H101)</f>
        <v>0</v>
      </c>
      <c r="I102" s="276">
        <f>SUM(I99:I101)</f>
        <v>724.68000000000006</v>
      </c>
      <c r="J102" s="249"/>
      <c r="K102" s="250"/>
      <c r="L102" s="250"/>
    </row>
    <row r="103" spans="1:12" ht="15.75" hidden="1" x14ac:dyDescent="0.25">
      <c r="A103" s="257"/>
      <c r="B103" s="269"/>
      <c r="C103" s="270"/>
      <c r="D103" s="149"/>
      <c r="E103" s="281"/>
      <c r="F103" s="281"/>
      <c r="G103" s="282"/>
      <c r="H103" s="282"/>
      <c r="I103" s="283"/>
      <c r="J103" s="126"/>
      <c r="K103" s="128"/>
      <c r="L103" s="128"/>
    </row>
    <row r="104" spans="1:12" ht="47.25" hidden="1" x14ac:dyDescent="0.25">
      <c r="A104" s="257" t="e">
        <f>#REF!</f>
        <v>#REF!</v>
      </c>
      <c r="B104" s="269" t="e">
        <f>#REF!</f>
        <v>#REF!</v>
      </c>
      <c r="C104" s="270" t="e">
        <f>#REF!</f>
        <v>#REF!</v>
      </c>
      <c r="D104" s="260" t="s">
        <v>249</v>
      </c>
      <c r="E104" s="282"/>
      <c r="F104" s="282"/>
      <c r="G104" s="260" t="s">
        <v>143</v>
      </c>
      <c r="H104" s="262">
        <f>H110</f>
        <v>0</v>
      </c>
      <c r="I104" s="260">
        <f>I110:R110</f>
        <v>724.68000000000006</v>
      </c>
      <c r="J104" s="126"/>
      <c r="K104" s="128"/>
      <c r="L104" s="128"/>
    </row>
    <row r="105" spans="1:12" ht="15.75" hidden="1" x14ac:dyDescent="0.25">
      <c r="A105" s="257"/>
      <c r="B105" s="269"/>
      <c r="C105" s="270"/>
      <c r="D105" s="260"/>
      <c r="E105" s="282"/>
      <c r="F105" s="282"/>
      <c r="G105" s="260"/>
      <c r="H105" s="271"/>
      <c r="I105" s="263"/>
      <c r="J105" s="126"/>
      <c r="K105" s="128"/>
      <c r="L105" s="128"/>
    </row>
    <row r="106" spans="1:12" s="251" customFormat="1" ht="30.75" hidden="1" x14ac:dyDescent="0.25">
      <c r="A106" s="257"/>
      <c r="B106" s="284" t="s">
        <v>240</v>
      </c>
      <c r="C106" s="270" t="s">
        <v>35</v>
      </c>
      <c r="D106" s="270" t="e">
        <f>#REF!</f>
        <v>#REF!</v>
      </c>
      <c r="E106" s="261"/>
      <c r="F106" s="261"/>
      <c r="G106" s="265"/>
      <c r="H106" s="278"/>
      <c r="I106" s="316"/>
      <c r="J106" s="249"/>
      <c r="K106" s="250"/>
      <c r="L106" s="250"/>
    </row>
    <row r="107" spans="1:12" s="251" customFormat="1" ht="15.75" hidden="1" x14ac:dyDescent="0.25">
      <c r="A107" s="257"/>
      <c r="B107" s="284" t="s">
        <v>201</v>
      </c>
      <c r="C107" s="270" t="s">
        <v>35</v>
      </c>
      <c r="D107" s="315">
        <v>437.52</v>
      </c>
      <c r="E107" s="261"/>
      <c r="F107" s="261"/>
      <c r="G107" s="261">
        <f>D107</f>
        <v>437.52</v>
      </c>
      <c r="H107" s="278"/>
      <c r="I107" s="316">
        <f>G107</f>
        <v>437.52</v>
      </c>
      <c r="J107" s="249"/>
      <c r="K107" s="250"/>
      <c r="L107" s="250"/>
    </row>
    <row r="108" spans="1:12" s="251" customFormat="1" ht="15.75" hidden="1" x14ac:dyDescent="0.25">
      <c r="A108" s="257"/>
      <c r="B108" s="284" t="s">
        <v>202</v>
      </c>
      <c r="C108" s="270" t="s">
        <v>35</v>
      </c>
      <c r="D108" s="315">
        <v>287.16000000000003</v>
      </c>
      <c r="E108" s="261"/>
      <c r="F108" s="261"/>
      <c r="G108" s="261">
        <f>D108</f>
        <v>287.16000000000003</v>
      </c>
      <c r="H108" s="278"/>
      <c r="I108" s="316">
        <f>G108</f>
        <v>287.16000000000003</v>
      </c>
      <c r="J108" s="249"/>
      <c r="K108" s="250"/>
      <c r="L108" s="250"/>
    </row>
    <row r="109" spans="1:12" s="251" customFormat="1" ht="53.45" hidden="1" customHeight="1" x14ac:dyDescent="0.25">
      <c r="A109" s="324"/>
      <c r="B109" s="317" t="s">
        <v>222</v>
      </c>
      <c r="C109" s="325"/>
      <c r="D109" s="325"/>
      <c r="E109" s="319"/>
      <c r="F109" s="319"/>
      <c r="G109" s="319"/>
      <c r="H109" s="326"/>
      <c r="I109" s="327"/>
      <c r="J109" s="249"/>
      <c r="K109" s="250"/>
      <c r="L109" s="250"/>
    </row>
    <row r="110" spans="1:12" s="251" customFormat="1" ht="15.75" hidden="1" x14ac:dyDescent="0.25">
      <c r="A110" s="272"/>
      <c r="B110" s="273" t="s">
        <v>123</v>
      </c>
      <c r="C110" s="275"/>
      <c r="D110" s="275"/>
      <c r="E110" s="275"/>
      <c r="F110" s="275"/>
      <c r="G110" s="276"/>
      <c r="H110" s="276">
        <f>SUM(H107:H109)</f>
        <v>0</v>
      </c>
      <c r="I110" s="276">
        <f>SUM(I107:I109)</f>
        <v>724.68000000000006</v>
      </c>
      <c r="J110" s="249"/>
      <c r="K110" s="250"/>
      <c r="L110" s="250"/>
    </row>
    <row r="111" spans="1:12" ht="15.75" hidden="1" x14ac:dyDescent="0.25">
      <c r="A111" s="257"/>
      <c r="B111" s="269"/>
      <c r="C111" s="270"/>
      <c r="D111" s="149"/>
      <c r="E111" s="281"/>
      <c r="F111" s="281"/>
      <c r="G111" s="282"/>
      <c r="H111" s="282"/>
      <c r="I111" s="283"/>
      <c r="J111" s="126"/>
      <c r="K111" s="128"/>
      <c r="L111" s="128"/>
    </row>
    <row r="112" spans="1:12" ht="47.25" hidden="1" x14ac:dyDescent="0.25">
      <c r="A112" s="257" t="e">
        <f>#REF!</f>
        <v>#REF!</v>
      </c>
      <c r="B112" s="269" t="e">
        <f>#REF!</f>
        <v>#REF!</v>
      </c>
      <c r="C112" s="270" t="e">
        <f>#REF!</f>
        <v>#REF!</v>
      </c>
      <c r="D112" s="260" t="s">
        <v>249</v>
      </c>
      <c r="E112" s="282"/>
      <c r="F112" s="282"/>
      <c r="G112" s="260" t="s">
        <v>143</v>
      </c>
      <c r="H112" s="262">
        <f>H118</f>
        <v>0</v>
      </c>
      <c r="I112" s="260">
        <f>I118:R118</f>
        <v>724.68000000000006</v>
      </c>
      <c r="J112" s="126"/>
      <c r="K112" s="128"/>
      <c r="L112" s="128"/>
    </row>
    <row r="113" spans="1:20" s="251" customFormat="1" ht="15.75" hidden="1" x14ac:dyDescent="0.25">
      <c r="A113" s="257"/>
      <c r="B113" s="284"/>
      <c r="C113" s="270" t="s">
        <v>35</v>
      </c>
      <c r="D113" s="270" t="e">
        <f>#REF!</f>
        <v>#REF!</v>
      </c>
      <c r="E113" s="261"/>
      <c r="F113" s="261"/>
      <c r="G113" s="265"/>
      <c r="H113" s="271"/>
      <c r="I113" s="263"/>
      <c r="J113" s="249"/>
      <c r="K113" s="250"/>
      <c r="L113" s="250"/>
    </row>
    <row r="114" spans="1:20" s="251" customFormat="1" ht="30.75" hidden="1" x14ac:dyDescent="0.25">
      <c r="A114" s="257"/>
      <c r="B114" s="284" t="s">
        <v>241</v>
      </c>
      <c r="C114" s="270"/>
      <c r="D114" s="315"/>
      <c r="E114" s="261"/>
      <c r="F114" s="261"/>
      <c r="G114" s="261"/>
      <c r="H114" s="278"/>
      <c r="I114" s="316"/>
      <c r="J114" s="249"/>
      <c r="K114" s="250"/>
      <c r="L114" s="250"/>
    </row>
    <row r="115" spans="1:20" s="251" customFormat="1" ht="15.75" hidden="1" x14ac:dyDescent="0.25">
      <c r="A115" s="257"/>
      <c r="B115" s="284" t="s">
        <v>201</v>
      </c>
      <c r="C115" s="270" t="s">
        <v>35</v>
      </c>
      <c r="D115" s="315">
        <v>437.52</v>
      </c>
      <c r="E115" s="261"/>
      <c r="F115" s="261"/>
      <c r="G115" s="261">
        <f>D115</f>
        <v>437.52</v>
      </c>
      <c r="H115" s="278"/>
      <c r="I115" s="316">
        <f>G115</f>
        <v>437.52</v>
      </c>
      <c r="J115" s="249"/>
      <c r="K115" s="250"/>
      <c r="L115" s="250"/>
    </row>
    <row r="116" spans="1:20" s="251" customFormat="1" ht="15.75" hidden="1" x14ac:dyDescent="0.25">
      <c r="A116" s="257"/>
      <c r="B116" s="284" t="s">
        <v>202</v>
      </c>
      <c r="C116" s="270" t="s">
        <v>35</v>
      </c>
      <c r="D116" s="315">
        <v>287.16000000000003</v>
      </c>
      <c r="E116" s="261"/>
      <c r="F116" s="261"/>
      <c r="G116" s="261">
        <f>D116</f>
        <v>287.16000000000003</v>
      </c>
      <c r="H116" s="278"/>
      <c r="I116" s="316">
        <f>G116</f>
        <v>287.16000000000003</v>
      </c>
      <c r="J116" s="249"/>
      <c r="K116" s="250"/>
      <c r="L116" s="250"/>
    </row>
    <row r="117" spans="1:20" s="251" customFormat="1" ht="60" hidden="1" x14ac:dyDescent="0.25">
      <c r="A117" s="324"/>
      <c r="B117" s="317" t="s">
        <v>222</v>
      </c>
      <c r="C117" s="325"/>
      <c r="D117" s="325"/>
      <c r="E117" s="319"/>
      <c r="F117" s="319"/>
      <c r="G117" s="319"/>
      <c r="H117" s="326"/>
      <c r="I117" s="327"/>
      <c r="J117" s="249"/>
      <c r="K117" s="250"/>
      <c r="L117" s="250"/>
    </row>
    <row r="118" spans="1:20" s="251" customFormat="1" ht="15.75" hidden="1" x14ac:dyDescent="0.25">
      <c r="A118" s="272"/>
      <c r="B118" s="273" t="s">
        <v>123</v>
      </c>
      <c r="C118" s="275"/>
      <c r="D118" s="275"/>
      <c r="E118" s="275"/>
      <c r="F118" s="275"/>
      <c r="G118" s="276"/>
      <c r="H118" s="276">
        <f>SUM(H115:H117)</f>
        <v>0</v>
      </c>
      <c r="I118" s="276">
        <f>SUM(I115:I117)</f>
        <v>724.68000000000006</v>
      </c>
      <c r="J118" s="249"/>
      <c r="K118" s="250"/>
      <c r="L118" s="250"/>
    </row>
    <row r="119" spans="1:20" ht="15.75" hidden="1" x14ac:dyDescent="0.25">
      <c r="A119" s="257"/>
      <c r="B119" s="269"/>
      <c r="C119" s="270"/>
      <c r="D119" s="149"/>
      <c r="E119" s="281"/>
      <c r="F119" s="281"/>
      <c r="G119" s="282"/>
      <c r="H119" s="282"/>
      <c r="I119" s="283"/>
      <c r="J119" s="126"/>
      <c r="K119" s="128"/>
      <c r="L119" s="128"/>
    </row>
    <row r="120" spans="1:20" ht="47.25" hidden="1" x14ac:dyDescent="0.25">
      <c r="A120" s="257" t="e">
        <f>#REF!</f>
        <v>#REF!</v>
      </c>
      <c r="B120" s="293" t="e">
        <f>#REF!</f>
        <v>#REF!</v>
      </c>
      <c r="C120" s="270" t="e">
        <f>#REF!</f>
        <v>#REF!</v>
      </c>
      <c r="D120" s="260" t="s">
        <v>249</v>
      </c>
      <c r="E120" s="622" t="s">
        <v>217</v>
      </c>
      <c r="F120" s="623"/>
      <c r="G120" s="260" t="s">
        <v>143</v>
      </c>
      <c r="H120" s="262">
        <f>H127</f>
        <v>0</v>
      </c>
      <c r="I120" s="260">
        <f>I127</f>
        <v>262.512</v>
      </c>
      <c r="J120" s="126"/>
      <c r="K120" s="128"/>
      <c r="L120" s="128"/>
    </row>
    <row r="121" spans="1:20" ht="76.900000000000006" hidden="1" customHeight="1" x14ac:dyDescent="0.25">
      <c r="A121" s="257"/>
      <c r="B121" s="284"/>
      <c r="C121" s="270"/>
      <c r="D121" s="313"/>
      <c r="E121" s="313" t="s">
        <v>218</v>
      </c>
      <c r="F121" s="313" t="s">
        <v>250</v>
      </c>
      <c r="G121" s="260"/>
      <c r="H121" s="260"/>
      <c r="I121" s="260"/>
      <c r="J121" s="126"/>
      <c r="K121" s="128"/>
      <c r="L121" s="128"/>
    </row>
    <row r="122" spans="1:20" s="251" customFormat="1" ht="19.149999999999999" hidden="1" customHeight="1" x14ac:dyDescent="0.25">
      <c r="A122" s="257"/>
      <c r="B122" s="328" t="s">
        <v>219</v>
      </c>
      <c r="C122" s="270" t="s">
        <v>35</v>
      </c>
      <c r="D122" s="270" t="e">
        <f>#REF!</f>
        <v>#REF!</v>
      </c>
      <c r="E122" s="261"/>
      <c r="F122" s="261"/>
      <c r="G122" s="265"/>
      <c r="H122" s="271"/>
      <c r="I122" s="263"/>
      <c r="J122" s="249"/>
      <c r="K122" s="250"/>
      <c r="L122" s="250"/>
    </row>
    <row r="123" spans="1:20" s="251" customFormat="1" ht="35.450000000000003" hidden="1" customHeight="1" x14ac:dyDescent="0.25">
      <c r="A123" s="257"/>
      <c r="B123" s="284" t="s">
        <v>242</v>
      </c>
      <c r="C123" s="270"/>
      <c r="D123" s="315"/>
      <c r="E123" s="261"/>
      <c r="F123" s="261"/>
      <c r="G123" s="261"/>
      <c r="H123" s="278"/>
      <c r="I123" s="316"/>
      <c r="J123" s="249"/>
      <c r="K123" s="250"/>
      <c r="L123" s="250"/>
    </row>
    <row r="124" spans="1:20" s="251" customFormat="1" ht="25.15" hidden="1" customHeight="1" x14ac:dyDescent="0.25">
      <c r="A124" s="257"/>
      <c r="B124" s="284" t="s">
        <v>220</v>
      </c>
      <c r="C124" s="270"/>
      <c r="D124" s="315">
        <v>437.52</v>
      </c>
      <c r="E124" s="329">
        <v>0.6</v>
      </c>
      <c r="F124" s="330">
        <v>0</v>
      </c>
      <c r="G124" s="261"/>
      <c r="H124" s="278"/>
      <c r="I124" s="316"/>
      <c r="J124" s="249"/>
      <c r="K124" s="250"/>
      <c r="L124" s="250"/>
    </row>
    <row r="125" spans="1:20" s="251" customFormat="1" ht="61.15" hidden="1" customHeight="1" x14ac:dyDescent="0.25">
      <c r="A125" s="257"/>
      <c r="B125" s="284" t="s">
        <v>274</v>
      </c>
      <c r="C125" s="270" t="s">
        <v>35</v>
      </c>
      <c r="D125" s="331"/>
      <c r="E125" s="332">
        <f>D124*E124</f>
        <v>262.512</v>
      </c>
      <c r="F125" s="315">
        <v>0</v>
      </c>
      <c r="G125" s="261">
        <f>SUM(E125:F125)</f>
        <v>262.512</v>
      </c>
      <c r="H125" s="278"/>
      <c r="I125" s="316">
        <f>G125</f>
        <v>262.512</v>
      </c>
      <c r="J125" s="249"/>
      <c r="K125" s="250"/>
      <c r="L125" s="250"/>
      <c r="T125" s="375" t="s">
        <v>269</v>
      </c>
    </row>
    <row r="126" spans="1:20" s="251" customFormat="1" ht="189.6" hidden="1" customHeight="1" x14ac:dyDescent="0.25">
      <c r="A126" s="324"/>
      <c r="B126" s="333" t="s">
        <v>275</v>
      </c>
      <c r="C126" s="325"/>
      <c r="D126" s="325"/>
      <c r="E126" s="319"/>
      <c r="F126" s="319"/>
      <c r="G126" s="319"/>
      <c r="H126" s="326"/>
      <c r="I126" s="327"/>
      <c r="J126" s="249"/>
      <c r="K126" s="250"/>
      <c r="L126" s="250"/>
    </row>
    <row r="127" spans="1:20" s="251" customFormat="1" ht="15.75" hidden="1" x14ac:dyDescent="0.25">
      <c r="A127" s="272"/>
      <c r="B127" s="273" t="s">
        <v>123</v>
      </c>
      <c r="C127" s="275"/>
      <c r="D127" s="275"/>
      <c r="E127" s="275"/>
      <c r="F127" s="275"/>
      <c r="G127" s="276"/>
      <c r="H127" s="276">
        <f>SUM(H125:H126)</f>
        <v>0</v>
      </c>
      <c r="I127" s="276">
        <f>SUM(I125:I126)</f>
        <v>262.512</v>
      </c>
      <c r="J127" s="249"/>
      <c r="K127" s="250"/>
      <c r="L127" s="250"/>
    </row>
    <row r="128" spans="1:20" ht="15.75" x14ac:dyDescent="0.25">
      <c r="A128" s="257"/>
      <c r="B128" s="269"/>
      <c r="C128" s="270"/>
      <c r="D128" s="252"/>
      <c r="E128" s="281"/>
      <c r="F128" s="281"/>
      <c r="G128" s="282"/>
      <c r="H128" s="282"/>
      <c r="I128" s="283"/>
      <c r="J128" s="126"/>
      <c r="K128" s="128"/>
      <c r="L128" s="128"/>
    </row>
    <row r="129" spans="1:12" ht="47.25" x14ac:dyDescent="0.25">
      <c r="A129" s="257" t="e">
        <f>#REF!</f>
        <v>#REF!</v>
      </c>
      <c r="B129" s="293" t="e">
        <f>#REF!</f>
        <v>#REF!</v>
      </c>
      <c r="C129" s="270"/>
      <c r="D129" s="313" t="s">
        <v>200</v>
      </c>
      <c r="E129" s="282"/>
      <c r="F129" s="282"/>
      <c r="G129" s="260" t="s">
        <v>143</v>
      </c>
      <c r="H129" s="262">
        <f>H146</f>
        <v>261.44905000000006</v>
      </c>
      <c r="I129" s="260">
        <f>I146</f>
        <v>261.44905000000006</v>
      </c>
      <c r="J129" s="126"/>
      <c r="K129" s="128"/>
      <c r="L129" s="128"/>
    </row>
    <row r="130" spans="1:12" ht="30.75" x14ac:dyDescent="0.25">
      <c r="A130" s="257"/>
      <c r="B130" s="284" t="s">
        <v>284</v>
      </c>
      <c r="C130" s="270"/>
      <c r="D130" s="315" t="e">
        <f>#REF!</f>
        <v>#REF!</v>
      </c>
      <c r="E130" s="281"/>
      <c r="F130" s="281"/>
      <c r="G130" s="282"/>
      <c r="H130" s="282"/>
      <c r="I130" s="283"/>
      <c r="J130" s="126"/>
      <c r="K130" s="128"/>
      <c r="L130" s="128"/>
    </row>
    <row r="131" spans="1:12" ht="96" customHeight="1" x14ac:dyDescent="0.25">
      <c r="A131" s="257"/>
      <c r="B131" s="284" t="s">
        <v>286</v>
      </c>
      <c r="C131" s="270"/>
      <c r="D131" s="335"/>
      <c r="E131" s="281"/>
      <c r="F131" s="281"/>
      <c r="G131" s="282"/>
      <c r="H131" s="282"/>
      <c r="I131" s="283"/>
      <c r="J131" s="126"/>
      <c r="K131" s="128"/>
      <c r="L131" s="128"/>
    </row>
    <row r="132" spans="1:12" ht="45" x14ac:dyDescent="0.25">
      <c r="A132" s="257"/>
      <c r="B132" s="284"/>
      <c r="C132" s="380"/>
      <c r="D132" s="335" t="s">
        <v>229</v>
      </c>
      <c r="E132" s="336" t="s">
        <v>228</v>
      </c>
      <c r="F132" s="336" t="s">
        <v>227</v>
      </c>
      <c r="G132" s="336" t="s">
        <v>279</v>
      </c>
      <c r="H132" s="282"/>
      <c r="I132" s="283"/>
      <c r="J132" s="126"/>
      <c r="K132" s="128"/>
      <c r="L132" s="128"/>
    </row>
    <row r="133" spans="1:12" s="251" customFormat="1" ht="15.75" x14ac:dyDescent="0.25">
      <c r="A133" s="257"/>
      <c r="B133" s="318" t="s">
        <v>223</v>
      </c>
      <c r="C133" s="381"/>
      <c r="D133" s="381">
        <v>589.24</v>
      </c>
      <c r="E133" s="261"/>
      <c r="F133" s="337"/>
      <c r="G133" s="261"/>
      <c r="H133" s="278"/>
      <c r="I133" s="316">
        <f>H133</f>
        <v>0</v>
      </c>
      <c r="J133" s="249"/>
      <c r="K133" s="250"/>
      <c r="L133" s="250"/>
    </row>
    <row r="134" spans="1:12" s="251" customFormat="1" ht="15.75" x14ac:dyDescent="0.25">
      <c r="A134" s="257"/>
      <c r="B134" s="643" t="s">
        <v>224</v>
      </c>
      <c r="C134" s="647"/>
      <c r="D134" s="646">
        <f>G137</f>
        <v>109.72905</v>
      </c>
      <c r="E134" s="338">
        <f>(15.47+5.64+2.98)</f>
        <v>24.09</v>
      </c>
      <c r="F134" s="339">
        <v>1.5</v>
      </c>
      <c r="G134" s="261">
        <f>E134*F134</f>
        <v>36.134999999999998</v>
      </c>
      <c r="H134" s="278"/>
      <c r="I134" s="316"/>
      <c r="J134" s="249"/>
      <c r="K134" s="250"/>
      <c r="L134" s="250"/>
    </row>
    <row r="135" spans="1:12" s="251" customFormat="1" ht="15.75" x14ac:dyDescent="0.25">
      <c r="A135" s="257"/>
      <c r="B135" s="644"/>
      <c r="C135" s="647"/>
      <c r="D135" s="646"/>
      <c r="E135" s="338">
        <f>5.33+17.3+5.82</f>
        <v>28.450000000000003</v>
      </c>
      <c r="F135" s="339">
        <v>2.44</v>
      </c>
      <c r="G135" s="261">
        <f t="shared" ref="G135:G136" si="9">E135*F135</f>
        <v>69.418000000000006</v>
      </c>
      <c r="H135" s="278"/>
      <c r="I135" s="316"/>
      <c r="J135" s="249"/>
      <c r="K135" s="250"/>
      <c r="L135" s="250"/>
    </row>
    <row r="136" spans="1:12" s="251" customFormat="1" ht="15.75" x14ac:dyDescent="0.25">
      <c r="A136" s="257"/>
      <c r="B136" s="644"/>
      <c r="C136" s="647"/>
      <c r="D136" s="646"/>
      <c r="E136" s="338">
        <f>2.89</f>
        <v>2.89</v>
      </c>
      <c r="F136" s="337">
        <f>2.89/2</f>
        <v>1.4450000000000001</v>
      </c>
      <c r="G136" s="261">
        <f t="shared" si="9"/>
        <v>4.17605</v>
      </c>
      <c r="H136" s="278"/>
      <c r="I136" s="316"/>
      <c r="J136" s="249"/>
      <c r="K136" s="250"/>
      <c r="L136" s="250"/>
    </row>
    <row r="137" spans="1:12" s="251" customFormat="1" ht="15.75" x14ac:dyDescent="0.25">
      <c r="A137" s="257"/>
      <c r="B137" s="645"/>
      <c r="C137" s="647"/>
      <c r="D137" s="646"/>
      <c r="E137" s="338"/>
      <c r="F137" s="337"/>
      <c r="G137" s="278">
        <f>SUM(G134:G136)</f>
        <v>109.72905</v>
      </c>
      <c r="H137" s="278"/>
      <c r="I137" s="316"/>
      <c r="J137" s="249"/>
      <c r="K137" s="250"/>
      <c r="L137" s="250"/>
    </row>
    <row r="138" spans="1:12" s="251" customFormat="1" ht="15.75" x14ac:dyDescent="0.25">
      <c r="A138" s="257"/>
      <c r="B138" s="318" t="s">
        <v>226</v>
      </c>
      <c r="C138" s="315"/>
      <c r="D138" s="323">
        <f>SUM(D133:D134)</f>
        <v>698.96905000000004</v>
      </c>
      <c r="E138" s="338"/>
      <c r="F138" s="337"/>
      <c r="G138" s="261"/>
      <c r="H138" s="278"/>
      <c r="I138" s="316"/>
      <c r="J138" s="249"/>
      <c r="K138" s="250"/>
      <c r="L138" s="250"/>
    </row>
    <row r="139" spans="1:12" s="251" customFormat="1" ht="15.75" x14ac:dyDescent="0.25">
      <c r="A139" s="257"/>
      <c r="B139" s="318" t="s">
        <v>204</v>
      </c>
      <c r="C139" s="270"/>
      <c r="D139" s="323">
        <v>437.52</v>
      </c>
      <c r="E139" s="319"/>
      <c r="F139" s="319"/>
      <c r="G139" s="261"/>
      <c r="H139" s="278"/>
      <c r="I139" s="316"/>
      <c r="J139" s="249"/>
      <c r="K139" s="250"/>
      <c r="L139" s="250"/>
    </row>
    <row r="140" spans="1:12" s="251" customFormat="1" ht="15.75" x14ac:dyDescent="0.25">
      <c r="A140" s="257"/>
      <c r="B140" s="318"/>
      <c r="C140" s="270"/>
      <c r="D140" s="340"/>
      <c r="E140" s="319"/>
      <c r="F140" s="341"/>
      <c r="G140" s="261"/>
      <c r="H140" s="278"/>
      <c r="I140" s="316"/>
      <c r="J140" s="249"/>
      <c r="K140" s="250"/>
      <c r="L140" s="250"/>
    </row>
    <row r="141" spans="1:12" s="251" customFormat="1" ht="31.5" x14ac:dyDescent="0.25">
      <c r="A141" s="257"/>
      <c r="B141" s="318" t="s">
        <v>225</v>
      </c>
      <c r="C141" s="270"/>
      <c r="D141" s="342">
        <f>D133+D134-D139</f>
        <v>261.44905000000006</v>
      </c>
      <c r="E141" s="319"/>
      <c r="F141" s="326"/>
      <c r="G141" s="261"/>
      <c r="H141" s="278">
        <f>D141</f>
        <v>261.44905000000006</v>
      </c>
      <c r="I141" s="316">
        <f>H141</f>
        <v>261.44905000000006</v>
      </c>
      <c r="J141" s="249"/>
      <c r="K141" s="250"/>
      <c r="L141" s="250"/>
    </row>
    <row r="142" spans="1:12" s="251" customFormat="1" ht="15.75" x14ac:dyDescent="0.25">
      <c r="A142" s="257"/>
      <c r="B142" s="318"/>
      <c r="C142" s="270"/>
      <c r="D142" s="326"/>
      <c r="E142" s="326"/>
      <c r="F142" s="319"/>
      <c r="G142" s="261"/>
      <c r="H142" s="278"/>
      <c r="I142" s="316"/>
      <c r="J142" s="249"/>
      <c r="K142" s="250"/>
      <c r="L142" s="250"/>
    </row>
    <row r="143" spans="1:12" s="251" customFormat="1" ht="15.75" x14ac:dyDescent="0.25">
      <c r="A143" s="257"/>
      <c r="B143" s="284"/>
      <c r="C143" s="270"/>
      <c r="D143" s="319"/>
      <c r="E143" s="319"/>
      <c r="F143" s="319"/>
      <c r="G143" s="261"/>
      <c r="H143" s="278"/>
      <c r="I143" s="316"/>
      <c r="J143" s="249"/>
      <c r="K143" s="250"/>
      <c r="L143" s="250"/>
    </row>
    <row r="144" spans="1:12" s="251" customFormat="1" ht="15.75" x14ac:dyDescent="0.25">
      <c r="A144" s="257"/>
      <c r="B144" s="284"/>
      <c r="C144" s="270"/>
      <c r="D144" s="343"/>
      <c r="E144" s="319"/>
      <c r="F144" s="319"/>
      <c r="G144" s="261"/>
      <c r="H144" s="278">
        <f t="shared" ref="H144:I146" si="10">G144</f>
        <v>0</v>
      </c>
      <c r="I144" s="316">
        <f t="shared" si="10"/>
        <v>0</v>
      </c>
      <c r="J144" s="249"/>
      <c r="K144" s="250"/>
      <c r="L144" s="250"/>
    </row>
    <row r="145" spans="1:12" s="251" customFormat="1" ht="90" x14ac:dyDescent="0.25">
      <c r="A145" s="324"/>
      <c r="B145" s="317" t="s">
        <v>278</v>
      </c>
      <c r="C145" s="314"/>
      <c r="D145" s="314"/>
      <c r="E145" s="319"/>
      <c r="F145" s="319"/>
      <c r="G145" s="319"/>
      <c r="H145" s="326"/>
      <c r="I145" s="327">
        <f t="shared" si="10"/>
        <v>0</v>
      </c>
      <c r="J145" s="249"/>
      <c r="K145" s="250"/>
      <c r="L145" s="250"/>
    </row>
    <row r="146" spans="1:12" s="251" customFormat="1" ht="15.75" x14ac:dyDescent="0.25">
      <c r="A146" s="272"/>
      <c r="B146" s="273" t="s">
        <v>123</v>
      </c>
      <c r="C146" s="275"/>
      <c r="D146" s="276">
        <f>D145</f>
        <v>0</v>
      </c>
      <c r="E146" s="275"/>
      <c r="F146" s="275"/>
      <c r="G146" s="276">
        <f>SUM(G133:G145)</f>
        <v>219.4581</v>
      </c>
      <c r="H146" s="276">
        <f>SUM(H130:H145)</f>
        <v>261.44905000000006</v>
      </c>
      <c r="I146" s="276">
        <f t="shared" si="10"/>
        <v>261.44905000000006</v>
      </c>
      <c r="J146" s="249"/>
      <c r="K146" s="250"/>
      <c r="L146" s="250"/>
    </row>
    <row r="147" spans="1:12" ht="15.75" x14ac:dyDescent="0.25">
      <c r="A147" s="257"/>
      <c r="B147" s="269"/>
      <c r="C147" s="270"/>
      <c r="D147" s="252"/>
      <c r="E147" s="281"/>
      <c r="F147" s="281"/>
      <c r="G147" s="282"/>
      <c r="H147" s="282"/>
      <c r="I147" s="283"/>
      <c r="J147" s="126"/>
      <c r="K147" s="128"/>
      <c r="L147" s="128"/>
    </row>
    <row r="148" spans="1:12" ht="47.25" hidden="1" x14ac:dyDescent="0.25">
      <c r="A148" s="257" t="e">
        <f>#REF!</f>
        <v>#REF!</v>
      </c>
      <c r="B148" s="269" t="e">
        <f>#REF!</f>
        <v>#REF!</v>
      </c>
      <c r="C148" s="270" t="e">
        <f>#REF!</f>
        <v>#REF!</v>
      </c>
      <c r="D148" s="260" t="s">
        <v>249</v>
      </c>
      <c r="E148" s="282"/>
      <c r="F148" s="282"/>
      <c r="G148" s="260" t="s">
        <v>143</v>
      </c>
      <c r="H148" s="262">
        <f>H175</f>
        <v>0</v>
      </c>
      <c r="I148" s="260" t="e">
        <f>I175</f>
        <v>#REF!</v>
      </c>
      <c r="J148" s="126"/>
      <c r="K148" s="128"/>
      <c r="L148" s="128"/>
    </row>
    <row r="149" spans="1:12" s="251" customFormat="1" ht="15.75" hidden="1" x14ac:dyDescent="0.25">
      <c r="A149" s="257"/>
      <c r="B149" s="284"/>
      <c r="C149" s="270" t="s">
        <v>35</v>
      </c>
      <c r="D149" s="344" t="e">
        <f>#REF!</f>
        <v>#REF!</v>
      </c>
      <c r="E149" s="261"/>
      <c r="F149" s="261"/>
      <c r="G149" s="265"/>
      <c r="H149" s="271"/>
      <c r="I149" s="263"/>
      <c r="J149" s="249"/>
      <c r="K149" s="250"/>
      <c r="L149" s="250"/>
    </row>
    <row r="150" spans="1:12" s="251" customFormat="1" ht="15.75" hidden="1" x14ac:dyDescent="0.25">
      <c r="A150" s="257"/>
      <c r="B150" s="284" t="s">
        <v>252</v>
      </c>
      <c r="C150" s="270"/>
      <c r="D150" s="344"/>
      <c r="E150" s="261"/>
      <c r="F150" s="261"/>
      <c r="G150" s="261"/>
      <c r="H150" s="278"/>
      <c r="I150" s="316"/>
      <c r="J150" s="249"/>
      <c r="K150" s="250"/>
      <c r="L150" s="250"/>
    </row>
    <row r="151" spans="1:12" s="251" customFormat="1" ht="15.75" hidden="1" x14ac:dyDescent="0.25">
      <c r="A151" s="257"/>
      <c r="B151" s="318" t="s">
        <v>201</v>
      </c>
      <c r="C151" s="270"/>
      <c r="D151" s="344"/>
      <c r="E151" s="261"/>
      <c r="F151" s="261"/>
      <c r="G151" s="261"/>
      <c r="H151" s="278"/>
      <c r="I151" s="316"/>
      <c r="J151" s="249"/>
      <c r="K151" s="250"/>
      <c r="L151" s="250"/>
    </row>
    <row r="152" spans="1:12" s="251" customFormat="1" ht="15.75" hidden="1" x14ac:dyDescent="0.2">
      <c r="A152" s="257"/>
      <c r="B152" s="376" t="s">
        <v>251</v>
      </c>
      <c r="C152" s="270" t="s">
        <v>16</v>
      </c>
      <c r="D152" s="344">
        <v>37.85</v>
      </c>
      <c r="E152" s="261"/>
      <c r="F152" s="261"/>
      <c r="G152" s="261"/>
      <c r="H152" s="278"/>
      <c r="I152" s="316"/>
      <c r="J152" s="249"/>
      <c r="K152" s="250"/>
      <c r="L152" s="250"/>
    </row>
    <row r="153" spans="1:12" s="251" customFormat="1" ht="15.75" hidden="1" x14ac:dyDescent="0.2">
      <c r="A153" s="257"/>
      <c r="B153" s="376" t="s">
        <v>253</v>
      </c>
      <c r="C153" s="270" t="s">
        <v>16</v>
      </c>
      <c r="D153" s="344">
        <v>10.31</v>
      </c>
      <c r="E153" s="261"/>
      <c r="F153" s="261"/>
      <c r="G153" s="261"/>
      <c r="H153" s="278"/>
      <c r="I153" s="316"/>
      <c r="J153" s="249"/>
      <c r="K153" s="250"/>
      <c r="L153" s="250"/>
    </row>
    <row r="154" spans="1:12" s="251" customFormat="1" ht="15.75" hidden="1" x14ac:dyDescent="0.25">
      <c r="A154" s="257"/>
      <c r="B154" s="284" t="s">
        <v>254</v>
      </c>
      <c r="C154" s="270" t="s">
        <v>16</v>
      </c>
      <c r="D154" s="344">
        <v>11.99</v>
      </c>
      <c r="E154" s="261"/>
      <c r="F154" s="261"/>
      <c r="G154" s="261"/>
      <c r="H154" s="278"/>
      <c r="I154" s="316"/>
      <c r="J154" s="249"/>
      <c r="K154" s="250"/>
      <c r="L154" s="250"/>
    </row>
    <row r="155" spans="1:12" s="251" customFormat="1" ht="15.75" hidden="1" x14ac:dyDescent="0.25">
      <c r="A155" s="257"/>
      <c r="B155" s="284" t="s">
        <v>255</v>
      </c>
      <c r="C155" s="270" t="s">
        <v>16</v>
      </c>
      <c r="D155" s="344">
        <v>22.39</v>
      </c>
      <c r="E155" s="261"/>
      <c r="F155" s="261"/>
      <c r="G155" s="261"/>
      <c r="H155" s="278"/>
      <c r="I155" s="316"/>
      <c r="J155" s="249"/>
      <c r="K155" s="250"/>
      <c r="L155" s="250"/>
    </row>
    <row r="156" spans="1:12" s="251" customFormat="1" ht="15.75" hidden="1" x14ac:dyDescent="0.25">
      <c r="A156" s="257"/>
      <c r="B156" s="284" t="s">
        <v>256</v>
      </c>
      <c r="C156" s="270" t="s">
        <v>16</v>
      </c>
      <c r="D156" s="344">
        <v>6.72</v>
      </c>
      <c r="E156" s="261"/>
      <c r="F156" s="261"/>
      <c r="G156" s="261"/>
      <c r="H156" s="278"/>
      <c r="I156" s="316"/>
      <c r="J156" s="249"/>
      <c r="K156" s="250"/>
      <c r="L156" s="250"/>
    </row>
    <row r="157" spans="1:12" s="251" customFormat="1" ht="15.75" hidden="1" x14ac:dyDescent="0.25">
      <c r="A157" s="257"/>
      <c r="B157" s="284" t="s">
        <v>257</v>
      </c>
      <c r="C157" s="270" t="s">
        <v>16</v>
      </c>
      <c r="D157" s="344">
        <v>5.73</v>
      </c>
      <c r="E157" s="261"/>
      <c r="F157" s="261"/>
      <c r="G157" s="261"/>
      <c r="H157" s="278"/>
      <c r="I157" s="316"/>
      <c r="J157" s="249"/>
      <c r="K157" s="250"/>
      <c r="L157" s="250"/>
    </row>
    <row r="158" spans="1:12" s="251" customFormat="1" ht="15.75" hidden="1" x14ac:dyDescent="0.25">
      <c r="A158" s="257"/>
      <c r="B158" s="284" t="s">
        <v>258</v>
      </c>
      <c r="C158" s="270" t="s">
        <v>16</v>
      </c>
      <c r="D158" s="344">
        <v>16.16</v>
      </c>
      <c r="E158" s="261"/>
      <c r="F158" s="261"/>
      <c r="G158" s="261"/>
      <c r="H158" s="278"/>
      <c r="I158" s="316"/>
      <c r="J158" s="249"/>
      <c r="K158" s="250"/>
      <c r="L158" s="250"/>
    </row>
    <row r="159" spans="1:12" s="251" customFormat="1" ht="15.75" hidden="1" x14ac:dyDescent="0.25">
      <c r="A159" s="257"/>
      <c r="B159" s="284" t="s">
        <v>259</v>
      </c>
      <c r="C159" s="270" t="s">
        <v>16</v>
      </c>
      <c r="D159" s="344">
        <v>47</v>
      </c>
      <c r="E159" s="261"/>
      <c r="F159" s="261"/>
      <c r="G159" s="261"/>
      <c r="H159" s="278"/>
      <c r="I159" s="316"/>
      <c r="J159" s="249"/>
      <c r="K159" s="250"/>
      <c r="L159" s="250"/>
    </row>
    <row r="160" spans="1:12" s="251" customFormat="1" ht="40.15" hidden="1" customHeight="1" x14ac:dyDescent="0.25">
      <c r="A160" s="257"/>
      <c r="B160" s="284" t="s">
        <v>260</v>
      </c>
      <c r="C160" s="270" t="s">
        <v>16</v>
      </c>
      <c r="D160" s="344">
        <f>19.25*3.7</f>
        <v>71.225000000000009</v>
      </c>
      <c r="E160" s="261"/>
      <c r="F160" s="261"/>
      <c r="G160" s="261"/>
      <c r="H160" s="278"/>
      <c r="I160" s="316"/>
      <c r="J160" s="249"/>
      <c r="K160" s="250"/>
      <c r="L160" s="250"/>
    </row>
    <row r="161" spans="1:12" s="251" customFormat="1" ht="33.6" hidden="1" customHeight="1" x14ac:dyDescent="0.25">
      <c r="A161" s="257"/>
      <c r="B161" s="284" t="s">
        <v>268</v>
      </c>
      <c r="C161" s="270" t="s">
        <v>16</v>
      </c>
      <c r="D161" s="344">
        <f>7.85*4</f>
        <v>31.4</v>
      </c>
      <c r="E161" s="261"/>
      <c r="F161" s="261"/>
      <c r="G161" s="261"/>
      <c r="H161" s="278"/>
      <c r="I161" s="316"/>
      <c r="J161" s="249"/>
      <c r="K161" s="250"/>
      <c r="L161" s="250"/>
    </row>
    <row r="162" spans="1:12" s="251" customFormat="1" ht="27.6" hidden="1" customHeight="1" x14ac:dyDescent="0.25">
      <c r="A162" s="257"/>
      <c r="B162" s="284" t="s">
        <v>261</v>
      </c>
      <c r="C162" s="270" t="s">
        <v>16</v>
      </c>
      <c r="D162" s="344">
        <v>48.5</v>
      </c>
      <c r="E162" s="261"/>
      <c r="F162" s="261"/>
      <c r="G162" s="261"/>
      <c r="H162" s="278"/>
      <c r="I162" s="316"/>
      <c r="J162" s="249"/>
      <c r="K162" s="250"/>
      <c r="L162" s="250"/>
    </row>
    <row r="163" spans="1:12" s="251" customFormat="1" ht="15.75" hidden="1" x14ac:dyDescent="0.25">
      <c r="A163" s="257"/>
      <c r="B163" s="318" t="s">
        <v>262</v>
      </c>
      <c r="C163" s="270" t="s">
        <v>16</v>
      </c>
      <c r="D163" s="345">
        <f>SUM(D152:D162)</f>
        <v>309.27499999999998</v>
      </c>
      <c r="E163" s="261"/>
      <c r="F163" s="261"/>
      <c r="G163" s="261"/>
      <c r="H163" s="278"/>
      <c r="I163" s="316"/>
      <c r="J163" s="249"/>
      <c r="K163" s="250"/>
      <c r="L163" s="250"/>
    </row>
    <row r="164" spans="1:12" s="251" customFormat="1" ht="15.75" hidden="1" x14ac:dyDescent="0.25">
      <c r="A164" s="257"/>
      <c r="B164" s="318"/>
      <c r="C164" s="260"/>
      <c r="D164" s="345"/>
      <c r="E164" s="261"/>
      <c r="F164" s="261"/>
      <c r="G164" s="261"/>
      <c r="H164" s="278"/>
      <c r="I164" s="316"/>
      <c r="J164" s="249"/>
      <c r="K164" s="250"/>
      <c r="L164" s="250"/>
    </row>
    <row r="165" spans="1:12" s="251" customFormat="1" ht="15.75" hidden="1" x14ac:dyDescent="0.25">
      <c r="A165" s="257"/>
      <c r="B165" s="318" t="s">
        <v>202</v>
      </c>
      <c r="C165" s="270"/>
      <c r="D165" s="344"/>
      <c r="E165" s="261"/>
      <c r="F165" s="261"/>
      <c r="G165" s="261"/>
      <c r="H165" s="278"/>
      <c r="I165" s="316"/>
      <c r="J165" s="249"/>
      <c r="K165" s="250"/>
      <c r="L165" s="250"/>
    </row>
    <row r="166" spans="1:12" s="251" customFormat="1" ht="15.75" hidden="1" x14ac:dyDescent="0.2">
      <c r="A166" s="257"/>
      <c r="B166" s="376" t="s">
        <v>263</v>
      </c>
      <c r="C166" s="270" t="s">
        <v>16</v>
      </c>
      <c r="D166" s="344">
        <v>22.62</v>
      </c>
      <c r="E166" s="261"/>
      <c r="F166" s="261"/>
      <c r="G166" s="261"/>
      <c r="H166" s="278"/>
      <c r="I166" s="316"/>
      <c r="J166" s="249"/>
      <c r="K166" s="250"/>
      <c r="L166" s="250"/>
    </row>
    <row r="167" spans="1:12" s="251" customFormat="1" ht="15.75" hidden="1" x14ac:dyDescent="0.2">
      <c r="A167" s="257"/>
      <c r="B167" s="376" t="s">
        <v>253</v>
      </c>
      <c r="C167" s="270" t="s">
        <v>16</v>
      </c>
      <c r="D167" s="344">
        <v>7.27</v>
      </c>
      <c r="E167" s="261"/>
      <c r="F167" s="261"/>
      <c r="G167" s="261"/>
      <c r="H167" s="278"/>
      <c r="I167" s="316"/>
      <c r="J167" s="249"/>
      <c r="K167" s="250"/>
      <c r="L167" s="250"/>
    </row>
    <row r="168" spans="1:12" s="251" customFormat="1" ht="15.75" hidden="1" x14ac:dyDescent="0.25">
      <c r="A168" s="257"/>
      <c r="B168" s="284" t="s">
        <v>264</v>
      </c>
      <c r="C168" s="270" t="s">
        <v>16</v>
      </c>
      <c r="D168" s="344">
        <v>33.07</v>
      </c>
      <c r="E168" s="261"/>
      <c r="F168" s="261"/>
      <c r="G168" s="261"/>
      <c r="H168" s="278"/>
      <c r="I168" s="316"/>
      <c r="J168" s="249"/>
      <c r="K168" s="250"/>
      <c r="L168" s="250"/>
    </row>
    <row r="169" spans="1:12" s="251" customFormat="1" ht="15.75" hidden="1" x14ac:dyDescent="0.25">
      <c r="A169" s="257"/>
      <c r="B169" s="284" t="s">
        <v>265</v>
      </c>
      <c r="C169" s="270" t="s">
        <v>16</v>
      </c>
      <c r="D169" s="344">
        <v>102.02</v>
      </c>
      <c r="E169" s="261"/>
      <c r="F169" s="261"/>
      <c r="G169" s="261"/>
      <c r="H169" s="278"/>
      <c r="I169" s="316"/>
      <c r="J169" s="249"/>
      <c r="K169" s="250"/>
      <c r="L169" s="250"/>
    </row>
    <row r="170" spans="1:12" s="251" customFormat="1" ht="15.75" hidden="1" x14ac:dyDescent="0.25">
      <c r="A170" s="257"/>
      <c r="B170" s="318" t="s">
        <v>266</v>
      </c>
      <c r="C170" s="270" t="s">
        <v>16</v>
      </c>
      <c r="D170" s="345">
        <f>SUM(D166:D169)</f>
        <v>164.98</v>
      </c>
      <c r="E170" s="261"/>
      <c r="F170" s="261"/>
      <c r="G170" s="261"/>
      <c r="H170" s="278"/>
      <c r="I170" s="316"/>
      <c r="J170" s="249"/>
      <c r="K170" s="250"/>
      <c r="L170" s="250"/>
    </row>
    <row r="171" spans="1:12" s="251" customFormat="1" ht="15.75" hidden="1" x14ac:dyDescent="0.25">
      <c r="A171" s="257"/>
      <c r="B171" s="318" t="s">
        <v>267</v>
      </c>
      <c r="C171" s="270" t="s">
        <v>16</v>
      </c>
      <c r="D171" s="345">
        <f>D170+D163</f>
        <v>474.255</v>
      </c>
      <c r="E171" s="261"/>
      <c r="F171" s="261"/>
      <c r="G171" s="261"/>
      <c r="H171" s="278"/>
      <c r="I171" s="316"/>
      <c r="J171" s="249"/>
      <c r="K171" s="250"/>
      <c r="L171" s="250"/>
    </row>
    <row r="172" spans="1:12" s="251" customFormat="1" ht="15.75" hidden="1" x14ac:dyDescent="0.25">
      <c r="A172" s="324"/>
      <c r="B172" s="321"/>
      <c r="C172" s="377"/>
      <c r="D172" s="345"/>
      <c r="E172" s="261"/>
      <c r="F172" s="261"/>
      <c r="G172" s="261"/>
      <c r="H172" s="278"/>
      <c r="I172" s="316"/>
      <c r="J172" s="249"/>
      <c r="K172" s="250"/>
      <c r="L172" s="250"/>
    </row>
    <row r="173" spans="1:12" s="251" customFormat="1" ht="31.5" hidden="1" x14ac:dyDescent="0.25">
      <c r="A173" s="324"/>
      <c r="B173" s="321" t="s">
        <v>270</v>
      </c>
      <c r="C173" s="314"/>
      <c r="D173" s="314" t="e">
        <f>D149</f>
        <v>#REF!</v>
      </c>
      <c r="E173" s="261"/>
      <c r="F173" s="261"/>
      <c r="G173" s="261" t="e">
        <f>D173</f>
        <v>#REF!</v>
      </c>
      <c r="H173" s="278"/>
      <c r="I173" s="316" t="e">
        <f>G173</f>
        <v>#REF!</v>
      </c>
      <c r="J173" s="249"/>
      <c r="K173" s="250"/>
      <c r="L173" s="250"/>
    </row>
    <row r="174" spans="1:12" s="251" customFormat="1" ht="44.45" hidden="1" customHeight="1" x14ac:dyDescent="0.25">
      <c r="A174" s="324"/>
      <c r="B174" s="317" t="s">
        <v>271</v>
      </c>
      <c r="C174" s="325"/>
      <c r="D174" s="325"/>
      <c r="E174" s="319"/>
      <c r="F174" s="319"/>
      <c r="G174" s="319"/>
      <c r="H174" s="326"/>
      <c r="I174" s="327"/>
      <c r="J174" s="249"/>
      <c r="K174" s="250"/>
      <c r="L174" s="250"/>
    </row>
    <row r="175" spans="1:12" s="251" customFormat="1" ht="15.75" hidden="1" x14ac:dyDescent="0.25">
      <c r="A175" s="272"/>
      <c r="B175" s="273" t="s">
        <v>123</v>
      </c>
      <c r="C175" s="275"/>
      <c r="D175" s="275"/>
      <c r="E175" s="275"/>
      <c r="F175" s="275"/>
      <c r="G175" s="276"/>
      <c r="H175" s="276">
        <f>SUM(H149:H174)</f>
        <v>0</v>
      </c>
      <c r="I175" s="276" t="e">
        <f>SUM(I149:I174)</f>
        <v>#REF!</v>
      </c>
      <c r="J175" s="249"/>
      <c r="K175" s="250"/>
      <c r="L175" s="250"/>
    </row>
    <row r="176" spans="1:12" ht="15.75" x14ac:dyDescent="0.25">
      <c r="A176" s="146"/>
      <c r="B176" s="147"/>
      <c r="C176" s="148"/>
      <c r="D176" s="149"/>
      <c r="E176" s="281"/>
      <c r="F176" s="281"/>
      <c r="G176" s="282"/>
      <c r="H176" s="282"/>
      <c r="I176" s="283"/>
      <c r="J176" s="126"/>
      <c r="K176" s="128"/>
      <c r="L176" s="128"/>
    </row>
    <row r="177" spans="1:19" ht="15.75" x14ac:dyDescent="0.25">
      <c r="A177" s="346" t="e">
        <f>#REF!</f>
        <v>#REF!</v>
      </c>
      <c r="B177" s="347" t="e">
        <f>#REF!</f>
        <v>#REF!</v>
      </c>
      <c r="C177" s="310"/>
      <c r="D177" s="310"/>
      <c r="E177" s="310"/>
      <c r="F177" s="310"/>
      <c r="G177" s="310"/>
      <c r="H177" s="348"/>
      <c r="I177" s="349"/>
      <c r="J177" s="116"/>
      <c r="K177" s="116"/>
      <c r="L177" s="116"/>
    </row>
    <row r="178" spans="1:19" ht="15.75" x14ac:dyDescent="0.25">
      <c r="A178" s="350"/>
      <c r="B178" s="351"/>
      <c r="C178" s="352"/>
      <c r="D178" s="352"/>
      <c r="E178" s="352"/>
      <c r="F178" s="352"/>
      <c r="G178" s="352"/>
      <c r="H178" s="290"/>
      <c r="I178" s="353"/>
      <c r="J178" s="116"/>
      <c r="K178" s="116"/>
      <c r="L178" s="116"/>
    </row>
    <row r="179" spans="1:19" ht="50.45" customHeight="1" x14ac:dyDescent="0.25">
      <c r="A179" s="257" t="e">
        <f>#REF!</f>
        <v>#REF!</v>
      </c>
      <c r="B179" s="258" t="e">
        <f>#REF!</f>
        <v>#REF!</v>
      </c>
      <c r="C179" s="259" t="s">
        <v>147</v>
      </c>
      <c r="D179" s="260" t="s">
        <v>249</v>
      </c>
      <c r="E179" s="354" t="s">
        <v>162</v>
      </c>
      <c r="F179" s="354" t="s">
        <v>161</v>
      </c>
      <c r="G179" s="260" t="s">
        <v>221</v>
      </c>
      <c r="H179" s="262" t="e">
        <f>H186</f>
        <v>#REF!</v>
      </c>
      <c r="I179" s="355" t="e">
        <f>I186</f>
        <v>#REF!</v>
      </c>
      <c r="J179" s="116">
        <f>SUM(J186:J186)</f>
        <v>0</v>
      </c>
      <c r="K179" s="116">
        <f>SUM(K186:K186)</f>
        <v>0</v>
      </c>
      <c r="L179" s="116">
        <f>SUM(L186:L186)</f>
        <v>0</v>
      </c>
    </row>
    <row r="180" spans="1:19" ht="16.149999999999999" customHeight="1" x14ac:dyDescent="0.25">
      <c r="A180" s="288"/>
      <c r="B180" s="284" t="s">
        <v>245</v>
      </c>
      <c r="C180" s="259" t="s">
        <v>78</v>
      </c>
      <c r="D180" s="291">
        <v>89748.683999999994</v>
      </c>
      <c r="E180" s="291">
        <v>16318</v>
      </c>
      <c r="F180" s="356">
        <f>D180-E180</f>
        <v>73430.683999999994</v>
      </c>
      <c r="G180" s="266"/>
      <c r="H180" s="267"/>
      <c r="I180" s="292"/>
      <c r="J180" s="126">
        <f>J179+I180</f>
        <v>0</v>
      </c>
      <c r="K180" s="126">
        <f>K179+J180</f>
        <v>0</v>
      </c>
      <c r="L180" s="126">
        <f>L179+K180</f>
        <v>0</v>
      </c>
    </row>
    <row r="181" spans="1:19" ht="16.149999999999999" customHeight="1" x14ac:dyDescent="0.25">
      <c r="A181" s="288"/>
      <c r="B181" s="284" t="s">
        <v>281</v>
      </c>
      <c r="C181" s="259" t="s">
        <v>78</v>
      </c>
      <c r="D181" s="266"/>
      <c r="E181" s="291"/>
      <c r="F181" s="378" t="e">
        <f>#REF!+#REF!</f>
        <v>#REF!</v>
      </c>
      <c r="G181" s="266"/>
      <c r="H181" s="267"/>
      <c r="I181" s="292"/>
      <c r="J181" s="126"/>
      <c r="K181" s="126"/>
      <c r="L181" s="126"/>
    </row>
    <row r="182" spans="1:19" ht="37.9" customHeight="1" x14ac:dyDescent="0.25">
      <c r="A182" s="288"/>
      <c r="B182" s="357" t="s">
        <v>282</v>
      </c>
      <c r="C182" s="259"/>
      <c r="D182" s="271"/>
      <c r="E182" s="291"/>
      <c r="F182" s="294"/>
      <c r="G182" s="358" t="e">
        <f>ROUND(F181/F180,4)*100</f>
        <v>#REF!</v>
      </c>
      <c r="H182" s="359" t="e">
        <f>G182</f>
        <v>#REF!</v>
      </c>
      <c r="I182" s="360"/>
      <c r="J182" s="126"/>
      <c r="K182" s="126"/>
      <c r="L182" s="126"/>
    </row>
    <row r="183" spans="1:19" ht="24" customHeight="1" x14ac:dyDescent="0.25">
      <c r="A183" s="288"/>
      <c r="B183" s="361" t="s">
        <v>179</v>
      </c>
      <c r="C183" s="290" t="s">
        <v>23</v>
      </c>
      <c r="D183" s="291"/>
      <c r="E183" s="291"/>
      <c r="F183" s="294"/>
      <c r="G183" s="358" t="e">
        <f>#REF!+#REF!+#REF!</f>
        <v>#REF!</v>
      </c>
      <c r="H183" s="266"/>
      <c r="I183" s="292"/>
      <c r="J183" s="126"/>
      <c r="K183" s="126"/>
      <c r="L183" s="126"/>
      <c r="P183" s="125"/>
      <c r="Q183" s="163"/>
      <c r="R183" s="166"/>
      <c r="S183" s="163"/>
    </row>
    <row r="184" spans="1:19" ht="25.9" customHeight="1" x14ac:dyDescent="0.25">
      <c r="A184" s="288"/>
      <c r="B184" s="362" t="s">
        <v>280</v>
      </c>
      <c r="C184" s="290" t="s">
        <v>23</v>
      </c>
      <c r="D184" s="291"/>
      <c r="E184" s="291"/>
      <c r="F184" s="294"/>
      <c r="G184" s="363" t="e">
        <f>SUM(G182:G183)</f>
        <v>#REF!</v>
      </c>
      <c r="H184" s="266"/>
      <c r="I184" s="364" t="e">
        <f>SUM(G184)</f>
        <v>#REF!</v>
      </c>
      <c r="J184" s="126"/>
      <c r="K184" s="126"/>
      <c r="L184" s="126"/>
      <c r="P184" s="125"/>
      <c r="Q184" s="163"/>
      <c r="R184" s="166"/>
      <c r="S184" s="163"/>
    </row>
    <row r="185" spans="1:19" ht="12" customHeight="1" x14ac:dyDescent="0.25">
      <c r="A185" s="288"/>
      <c r="B185" s="365"/>
      <c r="C185" s="290"/>
      <c r="D185" s="266"/>
      <c r="E185" s="366"/>
      <c r="F185" s="366"/>
      <c r="G185" s="266"/>
      <c r="H185" s="266"/>
      <c r="I185" s="268"/>
      <c r="J185" s="126"/>
      <c r="K185" s="126"/>
      <c r="L185" s="126"/>
    </row>
    <row r="186" spans="1:19" ht="15.75" x14ac:dyDescent="0.25">
      <c r="A186" s="272"/>
      <c r="B186" s="273" t="s">
        <v>123</v>
      </c>
      <c r="C186" s="275"/>
      <c r="D186" s="275"/>
      <c r="E186" s="275"/>
      <c r="F186" s="275"/>
      <c r="G186" s="276"/>
      <c r="H186" s="367" t="e">
        <f>SUM(H182:H185)</f>
        <v>#REF!</v>
      </c>
      <c r="I186" s="368" t="e">
        <f>I184</f>
        <v>#REF!</v>
      </c>
      <c r="J186" s="126"/>
      <c r="K186" s="128"/>
      <c r="L186" s="128"/>
    </row>
    <row r="188" spans="1:19" x14ac:dyDescent="0.25">
      <c r="G188" s="142" t="e">
        <f>#REF!</f>
        <v>#REF!</v>
      </c>
    </row>
  </sheetData>
  <mergeCells count="16">
    <mergeCell ref="B17:G17"/>
    <mergeCell ref="B54:G54"/>
    <mergeCell ref="E120:F120"/>
    <mergeCell ref="B134:B137"/>
    <mergeCell ref="D134:D137"/>
    <mergeCell ref="C134:C137"/>
    <mergeCell ref="B1:F1"/>
    <mergeCell ref="B2:F2"/>
    <mergeCell ref="B3:G3"/>
    <mergeCell ref="B4:I4"/>
    <mergeCell ref="A5:I5"/>
    <mergeCell ref="A6:A7"/>
    <mergeCell ref="B6:B7"/>
    <mergeCell ref="C6:C7"/>
    <mergeCell ref="D6:G7"/>
    <mergeCell ref="H6:I6"/>
  </mergeCells>
  <printOptions horizontalCentered="1" gridLines="1"/>
  <pageMargins left="0.78740157480314965" right="0.39370078740157483" top="0.78740157480314965" bottom="0.78740157480314965" header="0.51181102362204722" footer="0.27559055118110237"/>
  <pageSetup paperSize="9" scale="58" orientation="portrait" r:id="rId1"/>
  <headerFooter alignWithMargins="0">
    <oddFooter>Página &amp;P de &amp;N</oddFooter>
  </headerFooter>
  <rowBreaks count="1" manualBreakCount="1">
    <brk id="118" max="8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"/>
  <sheetViews>
    <sheetView workbookViewId="0">
      <selection activeCell="D5" sqref="D5"/>
    </sheetView>
  </sheetViews>
  <sheetFormatPr defaultColWidth="9.140625" defaultRowHeight="15" x14ac:dyDescent="0.25"/>
  <cols>
    <col min="2" max="2" width="17.28515625" customWidth="1"/>
    <col min="3" max="3" width="15.7109375" customWidth="1"/>
    <col min="4" max="4" width="15.28515625" customWidth="1"/>
  </cols>
  <sheetData>
    <row r="1" spans="1:4" ht="45" x14ac:dyDescent="0.25">
      <c r="A1" s="144"/>
      <c r="B1" s="144" t="s">
        <v>128</v>
      </c>
      <c r="C1" s="145" t="s">
        <v>126</v>
      </c>
      <c r="D1" s="145" t="s">
        <v>127</v>
      </c>
    </row>
    <row r="2" spans="1:4" x14ac:dyDescent="0.25">
      <c r="A2" t="s">
        <v>125</v>
      </c>
      <c r="B2" s="193">
        <v>44210</v>
      </c>
      <c r="C2" s="144">
        <v>360</v>
      </c>
    </row>
    <row r="3" spans="1:4" x14ac:dyDescent="0.25">
      <c r="D3" s="144">
        <f>C2+180</f>
        <v>540</v>
      </c>
    </row>
    <row r="4" spans="1:4" x14ac:dyDescent="0.25">
      <c r="C4" s="193">
        <f>B2+C2</f>
        <v>44570</v>
      </c>
      <c r="D4" s="193">
        <f>B2+D3</f>
        <v>44750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12</vt:i4>
      </vt:variant>
    </vt:vector>
  </HeadingPairs>
  <TitlesOfParts>
    <vt:vector size="20" baseType="lpstr">
      <vt:lpstr>Cronog original</vt:lpstr>
      <vt:lpstr>Contrato</vt:lpstr>
      <vt:lpstr>25ª MEDIÇÃO - OUT 2025</vt:lpstr>
      <vt:lpstr>Memoria 1</vt:lpstr>
      <vt:lpstr>Memoria 2</vt:lpstr>
      <vt:lpstr>Memoria 3</vt:lpstr>
      <vt:lpstr>Memoria 4</vt:lpstr>
      <vt:lpstr>contagem prazo</vt:lpstr>
      <vt:lpstr>'25ª MEDIÇÃO - OUT 2025'!Area_de_impressao</vt:lpstr>
      <vt:lpstr>Contrato!Area_de_impressao</vt:lpstr>
      <vt:lpstr>'Cronog original'!Area_de_impressao</vt:lpstr>
      <vt:lpstr>'Memoria 1'!Area_de_impressao</vt:lpstr>
      <vt:lpstr>'Memoria 2'!Area_de_impressao</vt:lpstr>
      <vt:lpstr>'Memoria 3'!Area_de_impressao</vt:lpstr>
      <vt:lpstr>'Memoria 4'!Area_de_impressao</vt:lpstr>
      <vt:lpstr>'25ª MEDIÇÃO - OUT 2025'!Titulos_de_impressao</vt:lpstr>
      <vt:lpstr>'Memoria 1'!Titulos_de_impressao</vt:lpstr>
      <vt:lpstr>'Memoria 2'!Titulos_de_impressao</vt:lpstr>
      <vt:lpstr>'Memoria 3'!Titulos_de_impressao</vt:lpstr>
      <vt:lpstr>'Memoria 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A. Luchi</dc:creator>
  <cp:lastModifiedBy>Adriana Ledig Aguiar Silva Deriz</cp:lastModifiedBy>
  <cp:lastPrinted>2023-09-19T17:12:19Z</cp:lastPrinted>
  <dcterms:created xsi:type="dcterms:W3CDTF">2020-10-13T15:47:08Z</dcterms:created>
  <dcterms:modified xsi:type="dcterms:W3CDTF">2026-06-22T12:34:45Z</dcterms:modified>
</cp:coreProperties>
</file>